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nykredit-my.sharepoint.com/personal/rix_nykredit_dk/Documents/Dokumenter/Småopgaver/Omkostningsberegner/"/>
    </mc:Choice>
  </mc:AlternateContent>
  <bookViews>
    <workbookView xWindow="-120" yWindow="-120" windowWidth="29040" windowHeight="15990"/>
  </bookViews>
  <sheets>
    <sheet name="Input-resultat-validering" sheetId="3" r:id="rId1"/>
    <sheet name="Variabler" sheetId="4" state="hidden" r:id="rId2"/>
    <sheet name="Beregningsgrundlag" sheetId="5" state="hidden" r:id="rId3"/>
    <sheet name="Beregning - Bank" sheetId="2" state="hidden" r:id="rId4"/>
    <sheet name="Beregning - Livslang" sheetId="11" state="hidden" r:id="rId5"/>
  </sheets>
  <definedNames>
    <definedName name="_xlnm._FilterDatabase" localSheetId="3" hidden="1">'Beregning - Bank'!$B$7:$E$9</definedName>
    <definedName name="BankIndbetalingSum">'Beregning - Bank'!$C$4</definedName>
    <definedName name="BankResultatIHO">'Beregning - Bank'!$C$19</definedName>
    <definedName name="BankResultatSamletÅOK">'Beregning - Bank'!$C$21</definedName>
    <definedName name="BankResultatSamletÅOP">'Beregning - Bank'!$C$22</definedName>
    <definedName name="BankResultatÅOK">'Beregning - Bank'!$C$17</definedName>
    <definedName name="BankResultatÅOKInvForening">'Beregning - Bank'!$C$17</definedName>
    <definedName name="BankResultatÅrligportfølje">'Beregning - Bank'!$C$15</definedName>
    <definedName name="GrundlagBeregninsType">Beregningsgrundlag!$C$4</definedName>
    <definedName name="GrundlagDefensiv">Beregningsgrundlag!$C$7</definedName>
    <definedName name="GrundlagGebyr">Beregningsgrundlag!$C$16</definedName>
    <definedName name="GrundlagIHO">Beregningsgrundlag!$C$13</definedName>
    <definedName name="GrundlagModerat">Beregningsgrundlag!$C$8</definedName>
    <definedName name="GrundlagOffensiv">Beregningsgrundlag!$C$9</definedName>
    <definedName name="GrundlagÅOP">Beregningsgrundlag!$C$11</definedName>
    <definedName name="InputIndbetaling">'Input-resultat-validering'!$C$6</definedName>
    <definedName name="InputProdukt">'Input-resultat-validering'!$C$8</definedName>
    <definedName name="InputRisiko">'Input-resultat-validering'!$C$7</definedName>
    <definedName name="InputSaldo">'Input-resultat-validering'!$C$5</definedName>
    <definedName name="LivslangIndbetaling">'Beregning - Livslang'!$C$12</definedName>
    <definedName name="LivslangResultatIHO">'Beregning - Livslang'!$C$27</definedName>
    <definedName name="LivslangResultatIndebetaling">'Beregning - Livslang'!$C$28</definedName>
    <definedName name="LivslangResultatSamletÅOK">'Beregning - Livslang'!$C$30</definedName>
    <definedName name="LivslangResultatSamletÅOP">'Beregning - Livslang'!$C$34</definedName>
    <definedName name="LivslangResultatÅrligportfølje">'Beregning - Livslang'!$C$23</definedName>
    <definedName name="LivslangSaldoIndbetaling">'Beregning - Livslang'!$C$4</definedName>
    <definedName name="LovslangResultatÅOK">'Beregning - Livslang'!$C$25</definedName>
    <definedName name="ResultatÅOK">'Beregning - Bank'!$C$17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1" i="3" l="1"/>
  <c r="K30" i="3"/>
  <c r="K29" i="3"/>
  <c r="K28" i="3"/>
  <c r="K27" i="3"/>
  <c r="K26" i="3"/>
  <c r="K25" i="3"/>
  <c r="C4" i="5"/>
  <c r="C12" i="11"/>
  <c r="D17" i="11" s="1"/>
  <c r="E17" i="11" s="1"/>
  <c r="C4" i="11"/>
  <c r="D8" i="11" s="1"/>
  <c r="E8" i="11" s="1"/>
  <c r="C4" i="2"/>
  <c r="D8" i="2" s="1"/>
  <c r="E8" i="2" s="1"/>
  <c r="C13" i="5"/>
  <c r="C27" i="11" s="1"/>
  <c r="C9" i="5"/>
  <c r="C8" i="5"/>
  <c r="C7" i="5"/>
  <c r="D13" i="4"/>
  <c r="C11" i="5" s="1"/>
  <c r="C25" i="11" s="1"/>
  <c r="C19" i="2" l="1"/>
  <c r="P30" i="3" s="1"/>
  <c r="D15" i="11"/>
  <c r="E15" i="11" s="1"/>
  <c r="D16" i="11"/>
  <c r="E16" i="11" s="1"/>
  <c r="C17" i="2"/>
  <c r="O25" i="3" s="1"/>
  <c r="P31" i="3"/>
  <c r="C16" i="5"/>
  <c r="D9" i="2"/>
  <c r="E9" i="2" s="1"/>
  <c r="E10" i="2" s="1"/>
  <c r="D9" i="11"/>
  <c r="E9" i="11" s="1"/>
  <c r="E10" i="11" s="1"/>
  <c r="P25" i="3" l="1"/>
  <c r="P28" i="3"/>
  <c r="C16" i="3"/>
  <c r="P26" i="3"/>
  <c r="P29" i="3"/>
  <c r="P27" i="3"/>
  <c r="O30" i="3"/>
  <c r="E18" i="11"/>
  <c r="C28" i="11" s="1"/>
  <c r="C17" i="3" s="1"/>
  <c r="O27" i="3"/>
  <c r="O29" i="3"/>
  <c r="O26" i="3"/>
  <c r="O31" i="3"/>
  <c r="O28" i="3"/>
  <c r="C15" i="3"/>
  <c r="C15" i="2"/>
  <c r="C21" i="2" s="1"/>
  <c r="C22" i="2" s="1"/>
  <c r="C23" i="11"/>
  <c r="Q26" i="3" l="1"/>
  <c r="Q27" i="3"/>
  <c r="Q28" i="3"/>
  <c r="Q25" i="3"/>
  <c r="Q29" i="3"/>
  <c r="Q30" i="3"/>
  <c r="Q31" i="3"/>
  <c r="C30" i="11"/>
  <c r="N31" i="3"/>
  <c r="N28" i="3"/>
  <c r="N29" i="3"/>
  <c r="C14" i="3"/>
  <c r="N30" i="3"/>
  <c r="N26" i="3"/>
  <c r="N27" i="3"/>
  <c r="N25" i="3"/>
  <c r="C34" i="11" l="1"/>
  <c r="R29" i="3"/>
  <c r="C18" i="3"/>
  <c r="R26" i="3"/>
  <c r="R27" i="3"/>
  <c r="R25" i="3"/>
  <c r="R31" i="3"/>
  <c r="R28" i="3"/>
  <c r="R30" i="3"/>
  <c r="C19" i="3" l="1"/>
  <c r="S31" i="3"/>
  <c r="S26" i="3"/>
  <c r="S27" i="3"/>
  <c r="S30" i="3"/>
  <c r="S29" i="3"/>
  <c r="S28" i="3"/>
  <c r="S25" i="3"/>
</calcChain>
</file>

<file path=xl/sharedStrings.xml><?xml version="1.0" encoding="utf-8"?>
<sst xmlns="http://schemas.openxmlformats.org/spreadsheetml/2006/main" count="152" uniqueCount="80">
  <si>
    <t>Forudsætninger</t>
  </si>
  <si>
    <t>Mere end 10 år til pensionering</t>
  </si>
  <si>
    <t>Investering i Nykredit PensionsInvest</t>
  </si>
  <si>
    <t>Alle indbetalinger sker 1. januar</t>
  </si>
  <si>
    <t>Input felter</t>
  </si>
  <si>
    <t>Inputfelt</t>
  </si>
  <si>
    <t>Værdi</t>
  </si>
  <si>
    <t>Validering</t>
  </si>
  <si>
    <t>Saldo</t>
  </si>
  <si>
    <t>Ingen negative tal
Indskrives i hele kroner</t>
  </si>
  <si>
    <t>Indbetaling</t>
  </si>
  <si>
    <t>Hvert produkt har nogle begrænsinger ift. indbetaling. Se "Variabler". 
Indskrives i hele kroner</t>
  </si>
  <si>
    <t>Risiko</t>
  </si>
  <si>
    <t>høj</t>
  </si>
  <si>
    <t>Hvis muligt ingen standardværdi. Ellers "Middel"</t>
  </si>
  <si>
    <t>Produkt</t>
  </si>
  <si>
    <t>Livslang Pension</t>
  </si>
  <si>
    <t>Hvis muligt ingen standardværdi. Ellers "Ratepension"</t>
  </si>
  <si>
    <t>Resultat</t>
  </si>
  <si>
    <t>Felt</t>
  </si>
  <si>
    <t>Note</t>
  </si>
  <si>
    <t>Årligt porteføljegebyr</t>
  </si>
  <si>
    <t>Skal altid vises
Vises i hele kroner</t>
  </si>
  <si>
    <t>ÅOK inv.forening</t>
  </si>
  <si>
    <t>IHO</t>
  </si>
  <si>
    <t>Indbetalingsomkostning</t>
  </si>
  <si>
    <t>Skal kun vises ved "Livslang Pension" 
Vises i hele kroner</t>
  </si>
  <si>
    <t>Samlet ÅOK</t>
  </si>
  <si>
    <t>Samlet ÅOP</t>
  </si>
  <si>
    <t xml:space="preserve">Skal afrundes til 2 decimaler. </t>
  </si>
  <si>
    <t>Inputfelter</t>
  </si>
  <si>
    <t>Beregnermotor - Validerings eksempler</t>
  </si>
  <si>
    <t xml:space="preserve">Model </t>
  </si>
  <si>
    <t>Risikoprofil</t>
  </si>
  <si>
    <t>Produkt </t>
  </si>
  <si>
    <t>...</t>
  </si>
  <si>
    <t>ÅOK</t>
  </si>
  <si>
    <t>ÅOP</t>
  </si>
  <si>
    <t>...2</t>
  </si>
  <si>
    <t>Årligt porteføljegebyr2</t>
  </si>
  <si>
    <t>ÅOK inv.forening3</t>
  </si>
  <si>
    <t>IHO4</t>
  </si>
  <si>
    <t>Indbetalingsomkostning5</t>
  </si>
  <si>
    <t>lav</t>
  </si>
  <si>
    <t>Aldersopsparing</t>
  </si>
  <si>
    <t>middel</t>
  </si>
  <si>
    <t>Ratepension</t>
  </si>
  <si>
    <t>høj+</t>
  </si>
  <si>
    <t>Investeringsallokering</t>
  </si>
  <si>
    <t>Bal. Defensiv</t>
  </si>
  <si>
    <t>Bal. Moderat</t>
  </si>
  <si>
    <t>Bal. Offensiv</t>
  </si>
  <si>
    <t xml:space="preserve">IHO </t>
  </si>
  <si>
    <t>(Indirekte handelsomkostninger)</t>
  </si>
  <si>
    <t>Fast gebyr</t>
  </si>
  <si>
    <t>bank</t>
  </si>
  <si>
    <t>livslang</t>
  </si>
  <si>
    <t>Beregning</t>
  </si>
  <si>
    <t>Maksimal indbetaling</t>
  </si>
  <si>
    <t>ingen</t>
  </si>
  <si>
    <t>Kapitalpension</t>
  </si>
  <si>
    <t>Beregningstype</t>
  </si>
  <si>
    <t xml:space="preserve">Fast gebyr </t>
  </si>
  <si>
    <t>Pensionsinvest - porteføljegebyr - bank</t>
  </si>
  <si>
    <t>Sum</t>
  </si>
  <si>
    <t>Sum over</t>
  </si>
  <si>
    <t>Sats</t>
  </si>
  <si>
    <t>Grundbeløb</t>
  </si>
  <si>
    <t>Portføljegebyr</t>
  </si>
  <si>
    <t xml:space="preserve"> TRUE </t>
  </si>
  <si>
    <t>Pensionsinvest - porteføljegebyr - Livslang</t>
  </si>
  <si>
    <t>TRUE</t>
  </si>
  <si>
    <t>Indbetalingsgebyr</t>
  </si>
  <si>
    <t>&lt;- Her indtaster du din nuværende saldo</t>
  </si>
  <si>
    <t>&lt;- Her vælger du din risikoprofil</t>
  </si>
  <si>
    <t>&lt;- Her vælger du dit investeringsprodukt</t>
  </si>
  <si>
    <t>&lt;- Her indtaster du din årlige betaling</t>
  </si>
  <si>
    <t>Bemærk venligst, at dette ikke udgør en fyldestgørende fremvisning over omkostninger i forbindelse med denne valgte investeringsløsning. Først ved indgåelse af aftale får du et overblik over alle de relevante omkostninger, forbundet med investering.</t>
  </si>
  <si>
    <t>Indirekte handelsomkostninger*</t>
  </si>
  <si>
    <t xml:space="preserve">*Indirekte handelsomkostninger dækker over de forskelle på købs- og salgskurser, som fondene oplever i forbindelse med handel med værdipapirer. Man kan se det som et udtryk for forskellen på, hvad investoren ønsker at sælge et værdipapir til, og hvad den faktiske handelspris ender på. Det er således ikke en omkostning i traditionel forstand og effekten er indregnet i afkastet fra dine investeringsforeninger. 
På NykreditInvest.dk finder du en oversigt over indirekte handelsomkostninger på afdelingerne i Nykredit Invest og Multi Manager Invest mv.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</si>
</sst>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 &quot;kr.&quot;_-;\-* #,##0.00\ &quot;kr.&quot;_-;_-* &quot;-&quot;??\ &quot;kr.&quot;_-;_-@_-"/>
    <numFmt numFmtId="165" formatCode="0.0%"/>
    <numFmt numFmtId="166" formatCode="0.000%"/>
    <numFmt numFmtId="167" formatCode="_ [$kr.-406]\ * #,##0.00_ ;_ [$kr.-406]\ * \-#,##0.00_ ;_ [$kr.-406]\ * &quot;-&quot;??_ ;_ @_ "/>
    <numFmt numFmtId="168" formatCode="_-* #,##0\ &quot;kr.&quot;_-;\-* #,##0\ &quot;kr.&quot;_-;_-* &quot;-&quot;??\ &quot;kr.&quot;_-;_-@_-"/>
    <numFmt numFmtId="169" formatCode="_-* #,##0\ [$kr.-406]_-;\-* #,##0\ [$kr.-406]_-;_-* &quot;-&quot;??\ [$kr.-406]_-;_-@_-"/>
    <numFmt numFmtId="170" formatCode="_-* #,##0.0\ &quot;kr.&quot;_-;\-* #,##0.0\ &quot;kr.&quot;_-;_-* &quot;-&quot;??\ &quot;kr.&quot;_-;_-@_-"/>
  </numFmts>
  <fonts count="9" x14ac:knownFonts="1">
    <font>
      <sz val="9"/>
      <color theme="1"/>
      <name val="Verdana"/>
      <family val="2"/>
    </font>
    <font>
      <sz val="9"/>
      <color theme="1"/>
      <name val="Verdana"/>
      <family val="2"/>
    </font>
    <font>
      <b/>
      <sz val="9"/>
      <color theme="1"/>
      <name val="Verdana"/>
      <family val="2"/>
    </font>
    <font>
      <sz val="14"/>
      <color theme="1"/>
      <name val="Verdana"/>
      <family val="2"/>
    </font>
    <font>
      <sz val="11"/>
      <color rgb="FF9C0006"/>
      <name val="Arial"/>
      <family val="2"/>
      <scheme val="minor"/>
    </font>
    <font>
      <sz val="11"/>
      <color rgb="FF006100"/>
      <name val="Arial"/>
      <family val="2"/>
      <scheme val="minor"/>
    </font>
    <font>
      <sz val="11"/>
      <color rgb="FF9C5700"/>
      <name val="Arial"/>
      <family val="2"/>
      <scheme val="minor"/>
    </font>
    <font>
      <sz val="9"/>
      <color rgb="FF3F3F76"/>
      <name val="Verdana"/>
      <family val="2"/>
    </font>
    <font>
      <b/>
      <sz val="9"/>
      <color rgb="FFFA7D00"/>
      <name val="Verdana"/>
      <family val="2"/>
    </font>
  </fonts>
  <fills count="7">
    <fill>
      <patternFill patternType="none"/>
    </fill>
    <fill>
      <patternFill patternType="gray125"/>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s>
  <borders count="4">
    <border>
      <left/>
      <right/>
      <top/>
      <bottom/>
      <diagonal/>
    </border>
    <border>
      <left style="thin">
        <color theme="4"/>
      </left>
      <right/>
      <top style="thin">
        <color theme="4"/>
      </top>
      <bottom/>
      <diagonal/>
    </border>
    <border>
      <left/>
      <right/>
      <top/>
      <bottom style="thin">
        <color theme="4"/>
      </bottom>
      <diagonal/>
    </border>
    <border>
      <left style="thin">
        <color rgb="FF7F7F7F"/>
      </left>
      <right style="thin">
        <color rgb="FF7F7F7F"/>
      </right>
      <top style="thin">
        <color rgb="FF7F7F7F"/>
      </top>
      <bottom style="thin">
        <color rgb="FF7F7F7F"/>
      </bottom>
      <diagonal/>
    </border>
  </borders>
  <cellStyleXfs count="8">
    <xf numFmtId="0" fontId="0" fillId="0" borderId="0"/>
    <xf numFmtId="9" fontId="1" fillId="0" borderId="0" applyFont="0" applyFill="0" applyBorder="0" applyAlignment="0" applyProtection="0"/>
    <xf numFmtId="164" fontId="1" fillId="0" borderId="0" applyFont="0" applyFill="0" applyBorder="0" applyAlignment="0" applyProtection="0"/>
    <xf numFmtId="0" fontId="4"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7" fillId="5" borderId="3" applyNumberFormat="0" applyAlignment="0" applyProtection="0"/>
    <xf numFmtId="0" fontId="8" fillId="6" borderId="3" applyNumberFormat="0" applyAlignment="0" applyProtection="0"/>
  </cellStyleXfs>
  <cellXfs count="39">
    <xf numFmtId="0" fontId="0" fillId="0" borderId="0" xfId="0"/>
    <xf numFmtId="9" fontId="0" fillId="0" borderId="0" xfId="1" applyFont="1"/>
    <xf numFmtId="165" fontId="0" fillId="0" borderId="0" xfId="1" applyNumberFormat="1" applyFont="1"/>
    <xf numFmtId="10" fontId="0" fillId="0" borderId="0" xfId="1" applyNumberFormat="1" applyFont="1"/>
    <xf numFmtId="166" fontId="0" fillId="0" borderId="0" xfId="1" applyNumberFormat="1" applyFont="1"/>
    <xf numFmtId="167" fontId="0" fillId="0" borderId="0" xfId="0" applyNumberFormat="1"/>
    <xf numFmtId="0" fontId="2" fillId="0" borderId="0" xfId="0" applyFont="1"/>
    <xf numFmtId="164" fontId="0" fillId="0" borderId="0" xfId="2" applyFont="1"/>
    <xf numFmtId="165" fontId="2" fillId="0" borderId="0" xfId="1" applyNumberFormat="1" applyFont="1"/>
    <xf numFmtId="164" fontId="0" fillId="0" borderId="0" xfId="0" applyNumberFormat="1"/>
    <xf numFmtId="164" fontId="7" fillId="5" borderId="3" xfId="6" applyNumberFormat="1" applyAlignment="1" applyProtection="1">
      <alignment horizontal="center" vertical="center"/>
      <protection locked="0"/>
    </xf>
    <xf numFmtId="0" fontId="7" fillId="5" borderId="3" xfId="6" applyAlignment="1" applyProtection="1">
      <alignment horizontal="center" vertical="center"/>
      <protection locked="0"/>
    </xf>
    <xf numFmtId="0" fontId="3" fillId="0" borderId="0" xfId="0" applyFont="1" applyProtection="1">
      <protection locked="0"/>
    </xf>
    <xf numFmtId="0" fontId="0" fillId="0" borderId="0" xfId="0" applyProtection="1">
      <protection locked="0"/>
    </xf>
    <xf numFmtId="0" fontId="0" fillId="0" borderId="0" xfId="0" applyAlignment="1" applyProtection="1">
      <alignment vertical="center"/>
      <protection locked="0"/>
    </xf>
    <xf numFmtId="0" fontId="0" fillId="0" borderId="0" xfId="0" applyAlignment="1" applyProtection="1">
      <alignment wrapText="1"/>
      <protection locked="0"/>
    </xf>
    <xf numFmtId="164" fontId="0" fillId="0" borderId="0" xfId="2" applyFont="1" applyProtection="1">
      <protection locked="0"/>
    </xf>
    <xf numFmtId="0" fontId="0" fillId="0" borderId="0" xfId="0" applyAlignment="1" applyProtection="1">
      <alignment horizontal="center"/>
      <protection locked="0"/>
    </xf>
    <xf numFmtId="0" fontId="0" fillId="0" borderId="1" xfId="0" applyBorder="1" applyAlignment="1" applyProtection="1">
      <alignment vertical="center"/>
      <protection locked="0"/>
    </xf>
    <xf numFmtId="166" fontId="0" fillId="0" borderId="0" xfId="1" applyNumberFormat="1" applyFont="1" applyProtection="1">
      <protection locked="0"/>
    </xf>
    <xf numFmtId="168" fontId="0" fillId="0" borderId="0" xfId="2" applyNumberFormat="1" applyFont="1" applyProtection="1">
      <protection locked="0"/>
    </xf>
    <xf numFmtId="169" fontId="0" fillId="0" borderId="0" xfId="0" applyNumberFormat="1" applyProtection="1">
      <protection locked="0"/>
    </xf>
    <xf numFmtId="10" fontId="0" fillId="0" borderId="0" xfId="0" applyNumberFormat="1" applyProtection="1">
      <protection locked="0"/>
    </xf>
    <xf numFmtId="170" fontId="0" fillId="0" borderId="0" xfId="2" applyNumberFormat="1" applyFont="1" applyProtection="1">
      <protection locked="0"/>
    </xf>
    <xf numFmtId="10" fontId="0" fillId="0" borderId="0" xfId="1" applyNumberFormat="1" applyFont="1" applyProtection="1">
      <protection locked="0"/>
    </xf>
    <xf numFmtId="170" fontId="0" fillId="0" borderId="0" xfId="0" applyNumberFormat="1" applyProtection="1">
      <protection locked="0"/>
    </xf>
    <xf numFmtId="0" fontId="6" fillId="4" borderId="0" xfId="5" applyProtection="1">
      <protection locked="0"/>
    </xf>
    <xf numFmtId="0" fontId="5" fillId="3" borderId="0" xfId="4" applyProtection="1">
      <protection locked="0"/>
    </xf>
    <xf numFmtId="0" fontId="4" fillId="2" borderId="0" xfId="3" applyProtection="1">
      <protection locked="0"/>
    </xf>
    <xf numFmtId="0" fontId="3" fillId="0" borderId="0" xfId="0" applyFont="1" applyProtection="1"/>
    <xf numFmtId="0" fontId="0" fillId="0" borderId="0" xfId="0" applyProtection="1"/>
    <xf numFmtId="0" fontId="0" fillId="0" borderId="0" xfId="0" applyAlignment="1" applyProtection="1">
      <alignment vertical="center"/>
    </xf>
    <xf numFmtId="164" fontId="0" fillId="0" borderId="0" xfId="2" applyFont="1" applyProtection="1"/>
    <xf numFmtId="168" fontId="8" fillId="6" borderId="3" xfId="7" applyNumberFormat="1" applyProtection="1"/>
    <xf numFmtId="10" fontId="8" fillId="6" borderId="3" xfId="7" applyNumberFormat="1" applyProtection="1"/>
    <xf numFmtId="0" fontId="4" fillId="2" borderId="0" xfId="3" applyAlignment="1" applyProtection="1">
      <alignment horizontal="center"/>
      <protection locked="0"/>
    </xf>
    <xf numFmtId="0" fontId="5" fillId="3" borderId="0" xfId="4" applyAlignment="1" applyProtection="1">
      <alignment horizontal="center"/>
      <protection locked="0"/>
    </xf>
    <xf numFmtId="0" fontId="6" fillId="4" borderId="2" xfId="5" applyBorder="1" applyAlignment="1" applyProtection="1">
      <alignment horizontal="center"/>
      <protection locked="0"/>
    </xf>
    <xf numFmtId="0" fontId="0" fillId="0" borderId="0" xfId="0" applyAlignment="1" applyProtection="1">
      <alignment horizontal="left" wrapText="1"/>
    </xf>
  </cellXfs>
  <cellStyles count="8">
    <cellStyle name="Beregning" xfId="7" builtinId="22"/>
    <cellStyle name="God" xfId="4" builtinId="26"/>
    <cellStyle name="Input" xfId="6" builtinId="20"/>
    <cellStyle name="Neutral" xfId="5" builtinId="28"/>
    <cellStyle name="Normal" xfId="0" builtinId="0"/>
    <cellStyle name="Procent" xfId="1" builtinId="5"/>
    <cellStyle name="Ugyldig" xfId="3" builtinId="27"/>
    <cellStyle name="Valuta" xfId="2" builtinId="4"/>
  </cellStyles>
  <dxfs count="73">
    <dxf>
      <font>
        <b val="0"/>
        <i val="0"/>
        <strike val="0"/>
        <condense val="0"/>
        <extend val="0"/>
        <outline val="0"/>
        <shadow val="0"/>
        <u val="none"/>
        <vertAlign val="baseline"/>
        <sz val="9"/>
        <color theme="1"/>
        <name val="Verdana"/>
        <scheme val="none"/>
      </font>
      <numFmt numFmtId="164" formatCode="_-* #,##0.00\ &quot;kr.&quot;_-;\-* #,##0.00\ &quot;kr.&quot;_-;_-* &quot;-&quot;??\ &quot;kr.&quot;_-;_-@_-"/>
    </dxf>
    <dxf>
      <font>
        <b val="0"/>
        <i val="0"/>
        <strike val="0"/>
        <condense val="0"/>
        <extend val="0"/>
        <outline val="0"/>
        <shadow val="0"/>
        <u val="none"/>
        <vertAlign val="baseline"/>
        <sz val="9"/>
        <color theme="1"/>
        <name val="Verdana"/>
        <scheme val="none"/>
      </font>
      <numFmt numFmtId="164" formatCode="_-* #,##0.00\ &quot;kr.&quot;_-;\-* #,##0.00\ &quot;kr.&quot;_-;_-* &quot;-&quot;??\ &quot;kr.&quot;_-;_-@_-"/>
    </dxf>
    <dxf>
      <numFmt numFmtId="164" formatCode="_-* #,##0.00\ &quot;kr.&quot;_-;\-* #,##0.00\ &quot;kr.&quot;_-;_-* &quot;-&quot;??\ &quot;kr.&quot;_-;_-@_-"/>
    </dxf>
    <dxf>
      <font>
        <b val="0"/>
        <i val="0"/>
        <strike val="0"/>
        <condense val="0"/>
        <extend val="0"/>
        <outline val="0"/>
        <shadow val="0"/>
        <u val="none"/>
        <vertAlign val="baseline"/>
        <sz val="9"/>
        <color theme="1"/>
        <name val="Verdana"/>
        <scheme val="none"/>
      </font>
      <numFmt numFmtId="0" formatCode="General"/>
    </dxf>
    <dxf>
      <font>
        <b val="0"/>
        <i val="0"/>
        <strike val="0"/>
        <condense val="0"/>
        <extend val="0"/>
        <outline val="0"/>
        <shadow val="0"/>
        <u val="none"/>
        <vertAlign val="baseline"/>
        <sz val="9"/>
        <color theme="1"/>
        <name val="Verdana"/>
        <scheme val="none"/>
      </font>
      <numFmt numFmtId="14" formatCode="0.00%"/>
    </dxf>
    <dxf>
      <numFmt numFmtId="167" formatCode="_ [$kr.-406]\ * #,##0.00_ ;_ [$kr.-406]\ * \-#,##0.00_ ;_ [$kr.-406]\ * &quot;-&quot;??_ ;_ @_ "/>
    </dxf>
    <dxf>
      <font>
        <b val="0"/>
        <i val="0"/>
        <strike val="0"/>
        <condense val="0"/>
        <extend val="0"/>
        <outline val="0"/>
        <shadow val="0"/>
        <u val="none"/>
        <vertAlign val="baseline"/>
        <sz val="9"/>
        <color theme="1"/>
        <name val="Verdana"/>
        <scheme val="none"/>
      </font>
      <numFmt numFmtId="164" formatCode="_-* #,##0.00\ &quot;kr.&quot;_-;\-* #,##0.00\ &quot;kr.&quot;_-;_-* &quot;-&quot;??\ &quot;kr.&quot;_-;_-@_-"/>
    </dxf>
    <dxf>
      <font>
        <b val="0"/>
        <i val="0"/>
        <strike val="0"/>
        <condense val="0"/>
        <extend val="0"/>
        <outline val="0"/>
        <shadow val="0"/>
        <u val="none"/>
        <vertAlign val="baseline"/>
        <sz val="9"/>
        <color theme="1"/>
        <name val="Verdana"/>
        <scheme val="none"/>
      </font>
      <numFmt numFmtId="164" formatCode="_-* #,##0.00\ &quot;kr.&quot;_-;\-* #,##0.00\ &quot;kr.&quot;_-;_-* &quot;-&quot;??\ &quot;kr.&quot;_-;_-@_-"/>
    </dxf>
    <dxf>
      <numFmt numFmtId="164" formatCode="_-* #,##0.00\ &quot;kr.&quot;_-;\-* #,##0.00\ &quot;kr.&quot;_-;_-* &quot;-&quot;??\ &quot;kr.&quot;_-;_-@_-"/>
    </dxf>
    <dxf>
      <font>
        <b val="0"/>
        <i val="0"/>
        <strike val="0"/>
        <condense val="0"/>
        <extend val="0"/>
        <outline val="0"/>
        <shadow val="0"/>
        <u val="none"/>
        <vertAlign val="baseline"/>
        <sz val="9"/>
        <color theme="1"/>
        <name val="Verdana"/>
        <scheme val="none"/>
      </font>
      <numFmt numFmtId="0" formatCode="General"/>
    </dxf>
    <dxf>
      <font>
        <b val="0"/>
        <i val="0"/>
        <strike val="0"/>
        <condense val="0"/>
        <extend val="0"/>
        <outline val="0"/>
        <shadow val="0"/>
        <u val="none"/>
        <vertAlign val="baseline"/>
        <sz val="9"/>
        <color theme="1"/>
        <name val="Verdana"/>
        <scheme val="none"/>
      </font>
      <numFmt numFmtId="14" formatCode="0.00%"/>
    </dxf>
    <dxf>
      <numFmt numFmtId="167" formatCode="_ [$kr.-406]\ * #,##0.00_ ;_ [$kr.-406]\ * \-#,##0.00_ ;_ [$kr.-406]\ * &quot;-&quot;??_ ;_ @_ "/>
    </dxf>
    <dxf>
      <font>
        <b val="0"/>
        <i val="0"/>
        <strike val="0"/>
        <condense val="0"/>
        <extend val="0"/>
        <outline val="0"/>
        <shadow val="0"/>
        <u val="none"/>
        <vertAlign val="baseline"/>
        <sz val="9"/>
        <color theme="1"/>
        <name val="Verdana"/>
        <scheme val="none"/>
      </font>
      <numFmt numFmtId="164" formatCode="_-* #,##0.00\ &quot;kr.&quot;_-;\-* #,##0.00\ &quot;kr.&quot;_-;_-* &quot;-&quot;??\ &quot;kr.&quot;_-;_-@_-"/>
    </dxf>
    <dxf>
      <font>
        <b val="0"/>
        <i val="0"/>
        <strike val="0"/>
        <condense val="0"/>
        <extend val="0"/>
        <outline val="0"/>
        <shadow val="0"/>
        <u val="none"/>
        <vertAlign val="baseline"/>
        <sz val="9"/>
        <color theme="1"/>
        <name val="Verdana"/>
        <scheme val="none"/>
      </font>
      <numFmt numFmtId="164" formatCode="_-* #,##0.00\ &quot;kr.&quot;_-;\-* #,##0.00\ &quot;kr.&quot;_-;_-* &quot;-&quot;??\ &quot;kr.&quot;_-;_-@_-"/>
    </dxf>
    <dxf>
      <numFmt numFmtId="164" formatCode="_-* #,##0.00\ &quot;kr.&quot;_-;\-* #,##0.00\ &quot;kr.&quot;_-;_-* &quot;-&quot;??\ &quot;kr.&quot;_-;_-@_-"/>
    </dxf>
    <dxf>
      <font>
        <b val="0"/>
        <i val="0"/>
        <strike val="0"/>
        <condense val="0"/>
        <extend val="0"/>
        <outline val="0"/>
        <shadow val="0"/>
        <u val="none"/>
        <vertAlign val="baseline"/>
        <sz val="9"/>
        <color theme="1"/>
        <name val="Verdana"/>
        <scheme val="none"/>
      </font>
      <numFmt numFmtId="0" formatCode="General"/>
    </dxf>
    <dxf>
      <font>
        <b val="0"/>
        <i val="0"/>
        <strike val="0"/>
        <condense val="0"/>
        <extend val="0"/>
        <outline val="0"/>
        <shadow val="0"/>
        <u val="none"/>
        <vertAlign val="baseline"/>
        <sz val="9"/>
        <color theme="1"/>
        <name val="Verdana"/>
        <scheme val="none"/>
      </font>
      <numFmt numFmtId="14" formatCode="0.00%"/>
    </dxf>
    <dxf>
      <numFmt numFmtId="167" formatCode="_ [$kr.-406]\ * #,##0.00_ ;_ [$kr.-406]\ * \-#,##0.00_ ;_ [$kr.-406]\ * &quot;-&quot;??_ ;_ @_ "/>
    </dxf>
    <dxf>
      <numFmt numFmtId="167" formatCode="_ [$kr.-406]\ * #,##0.00_ ;_ [$kr.-406]\ * \-#,##0.00_ ;_ [$kr.-406]\ * &quot;-&quot;??_ ;_ @_ "/>
    </dxf>
    <dxf>
      <numFmt numFmtId="167" formatCode="_ [$kr.-406]\ * #,##0.00_ ;_ [$kr.-406]\ * \-#,##0.00_ ;_ [$kr.-406]\ * &quot;-&quot;??_ ;_ @_ "/>
    </dxf>
    <dxf>
      <numFmt numFmtId="167" formatCode="_ [$kr.-406]\ * #,##0.00_ ;_ [$kr.-406]\ * \-#,##0.00_ ;_ [$kr.-406]\ * &quot;-&quot;??_ ;_ @_ "/>
    </dxf>
    <dxf>
      <font>
        <b/>
        <i val="0"/>
        <strike val="0"/>
        <condense val="0"/>
        <extend val="0"/>
        <outline val="0"/>
        <shadow val="0"/>
        <u val="none"/>
        <vertAlign val="baseline"/>
        <sz val="9"/>
        <color theme="1"/>
        <name val="Verdana"/>
        <scheme val="none"/>
      </font>
    </dxf>
    <dxf>
      <font>
        <b val="0"/>
        <i val="0"/>
        <strike val="0"/>
        <condense val="0"/>
        <extend val="0"/>
        <outline val="0"/>
        <shadow val="0"/>
        <u val="none"/>
        <vertAlign val="baseline"/>
        <sz val="9"/>
        <color theme="1"/>
        <name val="Verdana"/>
        <scheme val="none"/>
      </font>
      <numFmt numFmtId="14" formatCode="0.00%"/>
    </dxf>
    <dxf>
      <font>
        <b val="0"/>
        <i val="0"/>
        <strike val="0"/>
        <condense val="0"/>
        <extend val="0"/>
        <outline val="0"/>
        <shadow val="0"/>
        <u val="none"/>
        <vertAlign val="baseline"/>
        <sz val="9"/>
        <color theme="1"/>
        <name val="Verdana"/>
        <scheme val="none"/>
      </font>
      <numFmt numFmtId="14" formatCode="0.00%"/>
    </dxf>
    <dxf>
      <font>
        <b val="0"/>
        <i val="0"/>
        <strike val="0"/>
        <condense val="0"/>
        <extend val="0"/>
        <outline val="0"/>
        <shadow val="0"/>
        <u val="none"/>
        <vertAlign val="baseline"/>
        <sz val="9"/>
        <color theme="1"/>
        <name val="Verdana"/>
        <scheme val="none"/>
      </font>
      <numFmt numFmtId="166" formatCode="0.000%"/>
    </dxf>
    <dxf>
      <font>
        <b val="0"/>
        <i val="0"/>
        <strike val="0"/>
        <condense val="0"/>
        <extend val="0"/>
        <outline val="0"/>
        <shadow val="0"/>
        <u val="none"/>
        <vertAlign val="baseline"/>
        <sz val="9"/>
        <color theme="1"/>
        <name val="Verdana"/>
        <scheme val="none"/>
      </font>
      <numFmt numFmtId="14" formatCode="0.00%"/>
    </dxf>
    <dxf>
      <font>
        <b/>
        <i val="0"/>
        <strike val="0"/>
        <condense val="0"/>
        <extend val="0"/>
        <outline val="0"/>
        <shadow val="0"/>
        <u val="none"/>
        <vertAlign val="baseline"/>
        <sz val="9"/>
        <color theme="1"/>
        <name val="Verdana"/>
        <scheme val="none"/>
      </font>
    </dxf>
    <dxf>
      <font>
        <b val="0"/>
        <i val="0"/>
        <strike val="0"/>
        <condense val="0"/>
        <extend val="0"/>
        <outline val="0"/>
        <shadow val="0"/>
        <u val="none"/>
        <vertAlign val="baseline"/>
        <sz val="9"/>
        <color theme="1"/>
        <name val="Verdana"/>
        <scheme val="none"/>
      </font>
    </dxf>
    <dxf>
      <font>
        <b/>
        <i val="0"/>
        <strike val="0"/>
        <condense val="0"/>
        <extend val="0"/>
        <outline val="0"/>
        <shadow val="0"/>
        <u val="none"/>
        <vertAlign val="baseline"/>
        <sz val="9"/>
        <color theme="1"/>
        <name val="Verdana"/>
        <scheme val="none"/>
      </font>
    </dxf>
    <dxf>
      <font>
        <b val="0"/>
        <i val="0"/>
        <strike val="0"/>
        <condense val="0"/>
        <extend val="0"/>
        <outline val="0"/>
        <shadow val="0"/>
        <u val="none"/>
        <vertAlign val="baseline"/>
        <sz val="9"/>
        <color theme="1"/>
        <name val="Verdana"/>
        <scheme val="none"/>
      </font>
      <numFmt numFmtId="14" formatCode="0.00%"/>
    </dxf>
    <dxf>
      <font>
        <b val="0"/>
        <i val="0"/>
        <strike val="0"/>
        <condense val="0"/>
        <extend val="0"/>
        <outline val="0"/>
        <shadow val="0"/>
        <u val="none"/>
        <vertAlign val="baseline"/>
        <sz val="9"/>
        <color theme="1"/>
        <name val="Verdana"/>
        <scheme val="none"/>
      </font>
      <numFmt numFmtId="14" formatCode="0.00%"/>
    </dxf>
    <dxf>
      <font>
        <b val="0"/>
        <i val="0"/>
        <strike val="0"/>
        <condense val="0"/>
        <extend val="0"/>
        <outline val="0"/>
        <shadow val="0"/>
        <u val="none"/>
        <vertAlign val="baseline"/>
        <sz val="9"/>
        <color theme="1"/>
        <name val="Verdana"/>
        <scheme val="none"/>
      </font>
      <numFmt numFmtId="14" formatCode="0.00%"/>
    </dxf>
    <dxf>
      <font>
        <b val="0"/>
        <i val="0"/>
        <strike val="0"/>
        <condense val="0"/>
        <extend val="0"/>
        <outline val="0"/>
        <shadow val="0"/>
        <u val="none"/>
        <vertAlign val="baseline"/>
        <sz val="9"/>
        <color theme="1"/>
        <name val="Verdana"/>
        <scheme val="none"/>
      </font>
      <numFmt numFmtId="14" formatCode="0.00%"/>
    </dxf>
    <dxf>
      <font>
        <b/>
        <i val="0"/>
        <strike val="0"/>
        <condense val="0"/>
        <extend val="0"/>
        <outline val="0"/>
        <shadow val="0"/>
        <u val="none"/>
        <vertAlign val="baseline"/>
        <sz val="9"/>
        <color theme="1"/>
        <name val="Verdana"/>
        <scheme val="none"/>
      </font>
    </dxf>
    <dxf>
      <font>
        <b val="0"/>
        <i val="0"/>
        <strike val="0"/>
        <condense val="0"/>
        <extend val="0"/>
        <outline val="0"/>
        <shadow val="0"/>
        <u val="none"/>
        <vertAlign val="baseline"/>
        <sz val="9"/>
        <color theme="1"/>
        <name val="Verdana"/>
        <scheme val="none"/>
      </font>
    </dxf>
    <dxf>
      <font>
        <b/>
        <i val="0"/>
        <strike val="0"/>
        <condense val="0"/>
        <extend val="0"/>
        <outline val="0"/>
        <shadow val="0"/>
        <u val="none"/>
        <vertAlign val="baseline"/>
        <sz val="9"/>
        <color theme="1"/>
        <name val="Verdana"/>
        <scheme val="none"/>
      </font>
    </dxf>
    <dxf>
      <font>
        <b val="0"/>
        <i val="0"/>
        <strike val="0"/>
        <condense val="0"/>
        <extend val="0"/>
        <outline val="0"/>
        <shadow val="0"/>
        <u val="none"/>
        <vertAlign val="baseline"/>
        <sz val="9"/>
        <color theme="1"/>
        <name val="Verdana"/>
        <scheme val="none"/>
      </font>
    </dxf>
    <dxf>
      <font>
        <b val="0"/>
        <i val="0"/>
        <strike val="0"/>
        <condense val="0"/>
        <extend val="0"/>
        <outline val="0"/>
        <shadow val="0"/>
        <u val="none"/>
        <vertAlign val="baseline"/>
        <sz val="9"/>
        <color theme="1"/>
        <name val="Verdana"/>
        <scheme val="none"/>
      </font>
    </dxf>
    <dxf>
      <font>
        <b val="0"/>
        <i val="0"/>
        <strike val="0"/>
        <condense val="0"/>
        <extend val="0"/>
        <outline val="0"/>
        <shadow val="0"/>
        <u val="none"/>
        <vertAlign val="baseline"/>
        <sz val="9"/>
        <color theme="1"/>
        <name val="Verdana"/>
        <scheme val="none"/>
      </font>
    </dxf>
    <dxf>
      <font>
        <b val="0"/>
        <i val="0"/>
        <strike val="0"/>
        <condense val="0"/>
        <extend val="0"/>
        <outline val="0"/>
        <shadow val="0"/>
        <u val="none"/>
        <vertAlign val="baseline"/>
        <sz val="9"/>
        <color theme="1"/>
        <name val="Verdana"/>
        <scheme val="none"/>
      </font>
    </dxf>
    <dxf>
      <font>
        <b/>
        <i val="0"/>
        <strike val="0"/>
        <condense val="0"/>
        <extend val="0"/>
        <outline val="0"/>
        <shadow val="0"/>
        <u val="none"/>
        <vertAlign val="baseline"/>
        <sz val="9"/>
        <color theme="1"/>
        <name val="Verdana"/>
        <scheme val="none"/>
      </font>
    </dxf>
    <dxf>
      <numFmt numFmtId="14" formatCode="0.00%"/>
      <protection locked="0" hidden="0"/>
    </dxf>
    <dxf>
      <numFmt numFmtId="170" formatCode="_-* #,##0.0\ &quot;kr.&quot;_-;\-* #,##0.0\ &quot;kr.&quot;_-;_-* &quot;-&quot;??\ &quot;kr.&quot;_-;_-@_-"/>
      <protection locked="0" hidden="0"/>
    </dxf>
    <dxf>
      <numFmt numFmtId="170" formatCode="_-* #,##0.0\ &quot;kr.&quot;_-;\-* #,##0.0\ &quot;kr.&quot;_-;_-* &quot;-&quot;??\ &quot;kr.&quot;_-;_-@_-"/>
      <protection locked="0" hidden="0"/>
    </dxf>
    <dxf>
      <numFmt numFmtId="170" formatCode="_-* #,##0.0\ &quot;kr.&quot;_-;\-* #,##0.0\ &quot;kr.&quot;_-;_-* &quot;-&quot;??\ &quot;kr.&quot;_-;_-@_-"/>
      <protection locked="0" hidden="0"/>
    </dxf>
    <dxf>
      <numFmt numFmtId="170" formatCode="_-* #,##0.0\ &quot;kr.&quot;_-;\-* #,##0.0\ &quot;kr.&quot;_-;_-* &quot;-&quot;??\ &quot;kr.&quot;_-;_-@_-"/>
      <protection locked="0" hidden="0"/>
    </dxf>
    <dxf>
      <numFmt numFmtId="170" formatCode="_-* #,##0.0\ &quot;kr.&quot;_-;\-* #,##0.0\ &quot;kr.&quot;_-;_-* &quot;-&quot;??\ &quot;kr.&quot;_-;_-@_-"/>
      <protection locked="0" hidden="0"/>
    </dxf>
    <dxf>
      <numFmt numFmtId="14" formatCode="0.00%"/>
      <protection locked="0" hidden="0"/>
    </dxf>
    <dxf>
      <numFmt numFmtId="14" formatCode="0.00%"/>
      <protection locked="0" hidden="0"/>
    </dxf>
    <dxf>
      <numFmt numFmtId="169" formatCode="_-* #,##0\ [$kr.-406]_-;\-* #,##0\ [$kr.-406]_-;_-* &quot;-&quot;??\ [$kr.-406]_-;_-@_-"/>
      <protection locked="0" hidden="0"/>
    </dxf>
    <dxf>
      <numFmt numFmtId="168" formatCode="_-* #,##0\ &quot;kr.&quot;_-;\-* #,##0\ &quot;kr.&quot;_-;_-* &quot;-&quot;??\ &quot;kr.&quot;_-;_-@_-"/>
      <protection locked="0" hidden="0"/>
    </dxf>
    <dxf>
      <numFmt numFmtId="168" formatCode="_-* #,##0\ &quot;kr.&quot;_-;\-* #,##0\ &quot;kr.&quot;_-;_-* &quot;-&quot;??\ &quot;kr.&quot;_-;_-@_-"/>
      <protection locked="0" hidden="0"/>
    </dxf>
    <dxf>
      <numFmt numFmtId="168" formatCode="_-* #,##0\ &quot;kr.&quot;_-;\-* #,##0\ &quot;kr.&quot;_-;_-* &quot;-&quot;??\ &quot;kr.&quot;_-;_-@_-"/>
      <protection locked="0" hidden="0"/>
    </dxf>
    <dxf>
      <numFmt numFmtId="168" formatCode="_-* #,##0\ &quot;kr.&quot;_-;\-* #,##0\ &quot;kr.&quot;_-;_-* &quot;-&quot;??\ &quot;kr.&quot;_-;_-@_-"/>
      <protection locked="0" hidden="0"/>
    </dxf>
    <dxf>
      <protection locked="0" hidden="0"/>
    </dxf>
    <dxf>
      <protection locked="0" hidden="0"/>
    </dxf>
    <dxf>
      <font>
        <b val="0"/>
        <i val="0"/>
        <strike val="0"/>
        <condense val="0"/>
        <extend val="0"/>
        <outline val="0"/>
        <shadow val="0"/>
        <u val="none"/>
        <vertAlign val="baseline"/>
        <sz val="9"/>
        <color theme="1"/>
        <name val="Verdana"/>
        <scheme val="none"/>
      </font>
      <protection locked="0" hidden="0"/>
    </dxf>
    <dxf>
      <protection locked="0" hidden="0"/>
    </dxf>
    <dxf>
      <protection locked="0" hidden="0"/>
    </dxf>
    <dxf>
      <protection locked="0" hidden="0"/>
    </dxf>
    <dxf>
      <alignment horizontal="general" vertical="center" textRotation="0" wrapText="0" indent="0" justifyLastLine="0" shrinkToFit="0" readingOrder="0"/>
      <protection locked="0" hidden="0"/>
    </dxf>
    <dxf>
      <protection locked="0" hidden="0"/>
    </dxf>
    <dxf>
      <protection locked="1" hidden="0"/>
    </dxf>
    <dxf>
      <protection locked="1" hidden="0"/>
    </dxf>
    <dxf>
      <protection locked="0" hidden="0"/>
    </dxf>
    <dxf>
      <protection locked="0" hidden="0"/>
    </dxf>
    <dxf>
      <border>
        <left style="thin">
          <color rgb="FF7F7F7F"/>
        </left>
      </border>
      <protection locked="0" hidden="0"/>
    </dxf>
    <dxf>
      <alignment horizontal="center" vertical="center" textRotation="0" wrapText="0" indent="0" justifyLastLine="0" shrinkToFit="0" readingOrder="0"/>
      <protection locked="0" hidden="0"/>
    </dxf>
    <dxf>
      <alignment horizontal="general" vertical="center" textRotation="0" wrapText="0" indent="0" justifyLastLine="0" shrinkToFit="0" readingOrder="0"/>
      <border>
        <right style="thin">
          <color rgb="FF7F7F7F"/>
        </right>
      </border>
      <protection locked="1" hidden="0"/>
    </dxf>
    <dxf>
      <border outline="0">
        <right style="thin">
          <color rgb="FF7F7F7F"/>
        </right>
      </border>
    </dxf>
    <dxf>
      <protection locked="0" hidden="0"/>
    </dxf>
    <dxf>
      <protection locked="0" hidden="0"/>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4" name="Inputfelter" displayName="Inputfelter" ref="B4:D8" totalsRowShown="0" headerRowDxfId="71" dataDxfId="70" tableBorderDxfId="69">
  <autoFilter ref="B4:D8"/>
  <tableColumns count="3">
    <tableColumn id="1" name="Inputfelt" dataDxfId="68"/>
    <tableColumn id="2" name="Værdi" dataDxfId="67"/>
    <tableColumn id="3" name="Validering" dataDxfId="66"/>
  </tableColumns>
  <tableStyleInfo name="TableStyleLight9" showFirstColumn="0" showLastColumn="0" showRowStripes="1" showColumnStripes="0"/>
</table>
</file>

<file path=xl/tables/table10.xml><?xml version="1.0" encoding="utf-8"?>
<table xmlns="http://schemas.openxmlformats.org/spreadsheetml/2006/main" id="9" name="LivslangPortføljegebyr" displayName="LivslangPortføljegebyr" ref="B7:E10" totalsRowCount="1">
  <autoFilter ref="B7:E9"/>
  <tableColumns count="4">
    <tableColumn id="1" name="Sum over" totalsRowLabel="TRUE" dataDxfId="11"/>
    <tableColumn id="2" name="Sats" dataDxfId="10" totalsRowDxfId="9"/>
    <tableColumn id="3" name="Grundbeløb" dataDxfId="8">
      <calculatedColumnFormula>IF(AND(LivslangSaldoIndbetaling&gt;B8,LivslangSaldoIndbetaling&gt;B9),B9-B8,IF(LivslangSaldoIndbetaling-B8&gt;0,LivslangSaldoIndbetaling-B8,0))</calculatedColumnFormula>
    </tableColumn>
    <tableColumn id="4" name="Portføljegebyr" totalsRowFunction="sum" dataDxfId="7" totalsRowDxfId="6">
      <calculatedColumnFormula>LivslangPortføljegebyr[[#This Row],[Sats]]*LivslangPortføljegebyr[[#This Row],[Grundbeløb]]</calculatedColumnFormula>
    </tableColumn>
  </tableColumns>
  <tableStyleInfo name="TableStyleLight8" showFirstColumn="0" showLastColumn="0" showRowStripes="1" showColumnStripes="0"/>
</table>
</file>

<file path=xl/tables/table11.xml><?xml version="1.0" encoding="utf-8"?>
<table xmlns="http://schemas.openxmlformats.org/spreadsheetml/2006/main" id="11" name="LivslangIndbetalingGebyr" displayName="LivslangIndbetalingGebyr" ref="B14:E18" totalsRowCount="1">
  <autoFilter ref="B14:E17"/>
  <tableColumns count="4">
    <tableColumn id="1" name="Sum over" totalsRowLabel="TRUE" dataDxfId="5"/>
    <tableColumn id="2" name="Sats" dataDxfId="4" totalsRowDxfId="3"/>
    <tableColumn id="3" name="Grundbeløb" dataDxfId="2">
      <calculatedColumnFormula>IF(AND(LivslangIndbetaling&gt;B15,LivslangIndbetaling&gt;B16),B16-B15,IF(LivslangIndbetaling-B15&gt;0,LivslangIndbetaling-B15,0))</calculatedColumnFormula>
    </tableColumn>
    <tableColumn id="4" name="Indbetalingsgebyr" totalsRowFunction="sum" dataDxfId="1" totalsRowDxfId="0">
      <calculatedColumnFormula>LivslangIndbetalingGebyr[[#This Row],[Sats]]*LivslangIndbetalingGebyr[[#This Row],[Grundbeløb]]</calculatedColumnFormula>
    </tableColumn>
  </tableColumns>
  <tableStyleInfo name="TableStyleLight8" showFirstColumn="0" showLastColumn="0" showRowStripes="1" showColumnStripes="0"/>
</table>
</file>

<file path=xl/tables/table2.xml><?xml version="1.0" encoding="utf-8"?>
<table xmlns="http://schemas.openxmlformats.org/spreadsheetml/2006/main" id="12" name="Table12" displayName="Table12" ref="B13:D19" totalsRowShown="0" headerRowDxfId="65" dataDxfId="64">
  <autoFilter ref="B13:D19"/>
  <tableColumns count="3">
    <tableColumn id="1" name="Felt" dataDxfId="63"/>
    <tableColumn id="2" name="Værdi" dataDxfId="62"/>
    <tableColumn id="3" name="Note" dataDxfId="61"/>
  </tableColumns>
  <tableStyleInfo name="TableStyleLight9" showFirstColumn="0" showLastColumn="0" showRowStripes="1" showColumnStripes="0"/>
</table>
</file>

<file path=xl/tables/table3.xml><?xml version="1.0" encoding="utf-8"?>
<table xmlns="http://schemas.openxmlformats.org/spreadsheetml/2006/main" id="13" name="Table13" displayName="Table13" ref="B24:S31" totalsRowShown="0" headerRowDxfId="60" dataDxfId="59">
  <autoFilter ref="B24:S31"/>
  <tableColumns count="18">
    <tableColumn id="1" name="Saldo" dataDxfId="58"/>
    <tableColumn id="3" name="Indbetaling" dataDxfId="57"/>
    <tableColumn id="7" name="Risikoprofil" dataDxfId="56"/>
    <tableColumn id="9" name="Produkt " dataDxfId="55"/>
    <tableColumn id="18" name="..." dataDxfId="54"/>
    <tableColumn id="14" name="Årligt porteføljegebyr" dataDxfId="53"/>
    <tableColumn id="8" name="ÅOK inv.forening" dataDxfId="52"/>
    <tableColumn id="4" name="IHO" dataDxfId="51"/>
    <tableColumn id="2" name="Indbetalingsomkostning" dataDxfId="50"/>
    <tableColumn id="5" name="ÅOK" dataDxfId="49">
      <calculatedColumnFormula>G25+H25+I25+J25</calculatedColumnFormula>
    </tableColumn>
    <tableColumn id="6" name="ÅOP" dataDxfId="48"/>
    <tableColumn id="16" name="...2" dataDxfId="47"/>
    <tableColumn id="10" name="Årligt porteføljegebyr2" dataDxfId="46">
      <calculatedColumnFormula>IF(EXACT(GrundlagBeregninsType,"livslang"),LivslangResultatÅrligportfølje,BankResultatÅrligportfølje)</calculatedColumnFormula>
    </tableColumn>
    <tableColumn id="11" name="ÅOK inv.forening3" dataDxfId="45">
      <calculatedColumnFormula>IF(EXACT(GrundlagBeregninsType,"livslang"),LovslangResultatÅOK,BankResultatÅOK)</calculatedColumnFormula>
    </tableColumn>
    <tableColumn id="12" name="IHO4" dataDxfId="44">
      <calculatedColumnFormula>IF(EXACT(GrundlagBeregninsType,"livslang"),LivslangResultatIHO,BankResultatIHO)</calculatedColumnFormula>
    </tableColumn>
    <tableColumn id="17" name="Indbetalingsomkostning5" dataDxfId="43">
      <calculatedColumnFormula>IF(EXACT(GrundlagBeregninsType,"livslang"),LivslangResultatIndebetaling,NA())</calculatedColumnFormula>
    </tableColumn>
    <tableColumn id="13" name="Samlet ÅOK" dataDxfId="42">
      <calculatedColumnFormula>IF(EXACT(GrundlagBeregninsType,"livslang"),LivslangResultatSamletÅOK,BankResultatSamletÅOK)</calculatedColumnFormula>
    </tableColumn>
    <tableColumn id="15" name="Samlet ÅOP" dataDxfId="41">
      <calculatedColumnFormula>IF(EXACT(GrundlagBeregninsType,"livslang"),LivslangResultatSamletÅOP,BankResultatSamletÅOP)</calculatedColumnFormula>
    </tableColumn>
  </tableColumns>
  <tableStyleInfo name="TableStyleLight9" showFirstColumn="0" showLastColumn="0" showRowStripes="1" showColumnStripes="0"/>
</table>
</file>

<file path=xl/tables/table4.xml><?xml version="1.0" encoding="utf-8"?>
<table xmlns="http://schemas.openxmlformats.org/spreadsheetml/2006/main" id="2" name="Investeringsallokering" displayName="Investeringsallokering" ref="B6:F9" totalsRowShown="0" headerRowDxfId="40" dataDxfId="39">
  <autoFilter ref="B6:F9"/>
  <tableColumns count="5">
    <tableColumn id="1" name="Investeringsallokering"/>
    <tableColumn id="2" name="lav"/>
    <tableColumn id="3" name="middel" dataDxfId="38"/>
    <tableColumn id="4" name="høj" dataDxfId="37"/>
    <tableColumn id="5" name="høj+" dataDxfId="36"/>
  </tableColumns>
  <tableStyleInfo name="TableStyleLight9" showFirstColumn="0" showLastColumn="0" showRowStripes="1" showColumnStripes="0"/>
</table>
</file>

<file path=xl/tables/table5.xml><?xml version="1.0" encoding="utf-8"?>
<table xmlns="http://schemas.openxmlformats.org/spreadsheetml/2006/main" id="3" name="ÅOP" displayName="ÅOP" ref="B12:F13" totalsRowShown="0" headerRowDxfId="35" dataDxfId="34">
  <autoFilter ref="B12:F13"/>
  <tableColumns count="5">
    <tableColumn id="1" name="ÅOP" dataDxfId="33"/>
    <tableColumn id="2" name="lav" dataDxfId="32"/>
    <tableColumn id="3" name="middel" dataDxfId="31">
      <calculatedColumnFormula>(D7*0.0085)+(D8*0.0106)</calculatedColumnFormula>
    </tableColumn>
    <tableColumn id="4" name="høj" dataDxfId="30"/>
    <tableColumn id="5" name="høj+" dataDxfId="29"/>
  </tableColumns>
  <tableStyleInfo name="TableStyleLight9" showFirstColumn="0" showLastColumn="0" showRowStripes="1" showColumnStripes="0"/>
</table>
</file>

<file path=xl/tables/table6.xml><?xml version="1.0" encoding="utf-8"?>
<table xmlns="http://schemas.openxmlformats.org/spreadsheetml/2006/main" id="5" name="IHO" displayName="IHO" ref="B16:F17" totalsRowShown="0" headerRowDxfId="28" dataDxfId="27">
  <autoFilter ref="B16:F17"/>
  <tableColumns count="5">
    <tableColumn id="1" name="IHO " dataDxfId="26"/>
    <tableColumn id="2" name="lav" dataDxfId="25"/>
    <tableColumn id="3" name="middel" dataDxfId="24"/>
    <tableColumn id="4" name="høj" dataDxfId="23"/>
    <tableColumn id="5" name="høj+" dataDxfId="22"/>
  </tableColumns>
  <tableStyleInfo name="TableStyleLight9" showFirstColumn="0" showLastColumn="0" showRowStripes="1" showColumnStripes="0"/>
</table>
</file>

<file path=xl/tables/table7.xml><?xml version="1.0" encoding="utf-8"?>
<table xmlns="http://schemas.openxmlformats.org/spreadsheetml/2006/main" id="6" name="FastGebyr" displayName="FastGebyr" ref="B20:D21" totalsRowShown="0">
  <autoFilter ref="B20:D21"/>
  <tableColumns count="3">
    <tableColumn id="1" name="Fast gebyr" dataDxfId="21"/>
    <tableColumn id="2" name="bank" dataDxfId="20"/>
    <tableColumn id="3" name="livslang" dataDxfId="19"/>
  </tableColumns>
  <tableStyleInfo name="TableStyleLight9" showFirstColumn="0" showLastColumn="0" showRowStripes="1" showColumnStripes="0"/>
</table>
</file>

<file path=xl/tables/table8.xml><?xml version="1.0" encoding="utf-8"?>
<table xmlns="http://schemas.openxmlformats.org/spreadsheetml/2006/main" id="1" name="ProduktBeregning" displayName="ProduktBeregning" ref="B25:D29" totalsRowShown="0">
  <autoFilter ref="B25:D29"/>
  <tableColumns count="3">
    <tableColumn id="1" name="Produkt"/>
    <tableColumn id="2" name="Beregning"/>
    <tableColumn id="3" name="Maksimal indbetaling"/>
  </tableColumns>
  <tableStyleInfo name="TableStyleLight8" showFirstColumn="0" showLastColumn="0" showRowStripes="1" showColumnStripes="0"/>
</table>
</file>

<file path=xl/tables/table9.xml><?xml version="1.0" encoding="utf-8"?>
<table xmlns="http://schemas.openxmlformats.org/spreadsheetml/2006/main" id="8" name="BankPortføjlegebyrBeregning" displayName="BankPortføjlegebyrBeregning" ref="B7:E10" totalsRowCount="1">
  <autoFilter ref="B7:E9"/>
  <tableColumns count="4">
    <tableColumn id="1" name="Sum over" totalsRowLabel=" TRUE " dataDxfId="18" totalsRowDxfId="17"/>
    <tableColumn id="2" name="Sats" dataDxfId="16" totalsRowDxfId="15"/>
    <tableColumn id="3" name="Grundbeløb" dataDxfId="14">
      <calculatedColumnFormula>IF(AND(BankIndbetalingSum&gt;B8,BankIndbetalingSum&gt;B9),B9-B8,IF(BankIndbetalingSum-B8&gt;0,BankIndbetalingSum-B8,0))</calculatedColumnFormula>
    </tableColumn>
    <tableColumn id="4" name="Portføljegebyr" totalsRowFunction="sum" dataDxfId="13" totalsRowDxfId="12">
      <calculatedColumnFormula>BankPortføjlegebyrBeregning[[#This Row],[Sats]]*BankPortføjlegebyrBeregning[[#This Row],[Grundbeløb]]</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tema">
  <a:themeElements>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0F1E82"/>
      </a:folHlink>
    </a:clrScheme>
    <a:fontScheme name="Nykredit">
      <a:majorFont>
        <a:latin typeface="Arial Black"/>
        <a:ea typeface=""/>
        <a:cs typeface=""/>
      </a:majorFont>
      <a:minorFont>
        <a:latin typeface="Arial"/>
        <a:ea typeface=""/>
        <a:cs typeface=""/>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2.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tabSelected="1" zoomScale="105" zoomScaleNormal="90" workbookViewId="0">
      <selection activeCell="G38" sqref="G38"/>
    </sheetView>
  </sheetViews>
  <sheetFormatPr defaultRowHeight="11.25" x14ac:dyDescent="0.15"/>
  <cols>
    <col min="1" max="1" width="9" style="13"/>
    <col min="2" max="2" width="26.25" style="13" customWidth="1"/>
    <col min="3" max="3" width="21" style="13" customWidth="1"/>
    <col min="4" max="4" width="26.375" style="13" hidden="1" customWidth="1"/>
    <col min="5" max="5" width="35.25" style="13" customWidth="1"/>
    <col min="6" max="6" width="6.625" style="13" customWidth="1"/>
    <col min="7" max="7" width="15.25" style="13" customWidth="1"/>
    <col min="8" max="8" width="15.125" style="13" customWidth="1"/>
    <col min="9" max="10" width="12.25" style="13" customWidth="1"/>
    <col min="11" max="11" width="12.875" style="13" customWidth="1"/>
    <col min="12" max="12" width="9" style="13" customWidth="1"/>
    <col min="13" max="13" width="9" style="13"/>
    <col min="14" max="14" width="15.375" style="13" customWidth="1"/>
    <col min="15" max="15" width="12.25" style="13" customWidth="1"/>
    <col min="16" max="17" width="12.875" style="13" customWidth="1"/>
    <col min="18" max="18" width="14.25" style="13" customWidth="1"/>
    <col min="19" max="16384" width="9" style="13"/>
  </cols>
  <sheetData>
    <row r="1" spans="1:5" x14ac:dyDescent="0.15">
      <c r="A1" s="30"/>
      <c r="B1" s="30"/>
      <c r="C1" s="30"/>
      <c r="D1" s="30"/>
      <c r="E1" s="30"/>
    </row>
    <row r="2" spans="1:5" ht="18" x14ac:dyDescent="0.25">
      <c r="A2" s="30"/>
      <c r="B2" s="29" t="s">
        <v>4</v>
      </c>
      <c r="C2" s="30"/>
      <c r="D2" s="30"/>
      <c r="E2" s="30"/>
    </row>
    <row r="3" spans="1:5" x14ac:dyDescent="0.15">
      <c r="A3" s="30"/>
      <c r="B3" s="30"/>
      <c r="C3" s="30"/>
      <c r="D3" s="30"/>
      <c r="E3" s="30"/>
    </row>
    <row r="4" spans="1:5" x14ac:dyDescent="0.15">
      <c r="A4" s="30"/>
      <c r="B4" s="30" t="s">
        <v>5</v>
      </c>
      <c r="C4" s="30" t="s">
        <v>6</v>
      </c>
      <c r="D4" s="30" t="s">
        <v>7</v>
      </c>
      <c r="E4" s="30"/>
    </row>
    <row r="5" spans="1:5" ht="22.5" x14ac:dyDescent="0.15">
      <c r="A5" s="30"/>
      <c r="B5" s="31" t="s">
        <v>8</v>
      </c>
      <c r="C5" s="10">
        <v>5000</v>
      </c>
      <c r="D5" s="15" t="s">
        <v>9</v>
      </c>
      <c r="E5" s="31" t="s">
        <v>73</v>
      </c>
    </row>
    <row r="6" spans="1:5" ht="29.45" customHeight="1" x14ac:dyDescent="0.15">
      <c r="A6" s="30"/>
      <c r="B6" s="31" t="s">
        <v>10</v>
      </c>
      <c r="C6" s="10">
        <v>500</v>
      </c>
      <c r="D6" s="15" t="s">
        <v>11</v>
      </c>
      <c r="E6" s="31" t="s">
        <v>76</v>
      </c>
    </row>
    <row r="7" spans="1:5" ht="30" customHeight="1" x14ac:dyDescent="0.15">
      <c r="A7" s="30"/>
      <c r="B7" s="31" t="s">
        <v>12</v>
      </c>
      <c r="C7" s="11" t="s">
        <v>45</v>
      </c>
      <c r="D7" s="13" t="s">
        <v>14</v>
      </c>
      <c r="E7" s="31" t="s">
        <v>74</v>
      </c>
    </row>
    <row r="8" spans="1:5" ht="34.15" customHeight="1" x14ac:dyDescent="0.15">
      <c r="A8" s="30"/>
      <c r="B8" s="31" t="s">
        <v>15</v>
      </c>
      <c r="C8" s="11" t="s">
        <v>44</v>
      </c>
      <c r="D8" s="13" t="s">
        <v>17</v>
      </c>
      <c r="E8" s="31" t="s">
        <v>75</v>
      </c>
    </row>
    <row r="9" spans="1:5" ht="20.45" customHeight="1" x14ac:dyDescent="0.15">
      <c r="A9" s="30"/>
      <c r="B9" s="30"/>
      <c r="E9" s="30"/>
    </row>
    <row r="10" spans="1:5" x14ac:dyDescent="0.15">
      <c r="A10" s="30"/>
      <c r="B10" s="30"/>
      <c r="E10" s="30"/>
    </row>
    <row r="11" spans="1:5" ht="18" x14ac:dyDescent="0.25">
      <c r="A11" s="30"/>
      <c r="B11" s="29" t="s">
        <v>18</v>
      </c>
      <c r="E11" s="30"/>
    </row>
    <row r="12" spans="1:5" x14ac:dyDescent="0.15">
      <c r="A12" s="30"/>
      <c r="B12" s="30"/>
      <c r="E12" s="30"/>
    </row>
    <row r="13" spans="1:5" x14ac:dyDescent="0.15">
      <c r="B13" s="30" t="s">
        <v>19</v>
      </c>
      <c r="C13" s="32" t="s">
        <v>6</v>
      </c>
      <c r="D13" s="13" t="s">
        <v>20</v>
      </c>
      <c r="E13" s="30"/>
    </row>
    <row r="14" spans="1:5" ht="22.5" x14ac:dyDescent="0.15">
      <c r="B14" s="30" t="s">
        <v>21</v>
      </c>
      <c r="C14" s="33">
        <f>IF(EXACT(GrundlagBeregninsType,"livslang"),LivslangResultatÅrligportfølje,BankResultatÅrligportfølje)</f>
        <v>266.5</v>
      </c>
      <c r="D14" s="15" t="s">
        <v>22</v>
      </c>
      <c r="E14" s="30"/>
    </row>
    <row r="15" spans="1:5" ht="22.5" x14ac:dyDescent="0.15">
      <c r="B15" s="30" t="s">
        <v>23</v>
      </c>
      <c r="C15" s="33">
        <f>IF(EXACT(GrundlagBeregninsType,"livslang"),LovslangResultatÅOK,BankResultatÅOK)</f>
        <v>52.524999999999999</v>
      </c>
      <c r="D15" s="15" t="s">
        <v>22</v>
      </c>
      <c r="E15" s="30"/>
    </row>
    <row r="16" spans="1:5" ht="22.5" x14ac:dyDescent="0.15">
      <c r="B16" s="30" t="s">
        <v>78</v>
      </c>
      <c r="C16" s="33">
        <f>IF(EXACT(GrundlagBeregninsType,"livslang"),LivslangResultatIHO,BankResultatIHO)</f>
        <v>6.875</v>
      </c>
      <c r="D16" s="15" t="s">
        <v>22</v>
      </c>
      <c r="E16" s="30"/>
    </row>
    <row r="17" spans="2:21" ht="33.75" x14ac:dyDescent="0.15">
      <c r="B17" s="30" t="s">
        <v>25</v>
      </c>
      <c r="C17" s="33">
        <f>IF(EXACT(GrundlagBeregninsType,"livslang"),LivslangResultatIndebetaling,0)</f>
        <v>0</v>
      </c>
      <c r="D17" s="15" t="s">
        <v>26</v>
      </c>
      <c r="E17" s="30"/>
    </row>
    <row r="18" spans="2:21" ht="22.5" x14ac:dyDescent="0.15">
      <c r="B18" s="30" t="s">
        <v>27</v>
      </c>
      <c r="C18" s="33">
        <f>IF(EXACT(GrundlagBeregninsType,"livslang"),LivslangResultatSamletÅOK,BankResultatSamletÅOK)</f>
        <v>325.89999999999998</v>
      </c>
      <c r="D18" s="15" t="s">
        <v>22</v>
      </c>
      <c r="E18" s="30"/>
    </row>
    <row r="19" spans="2:21" x14ac:dyDescent="0.15">
      <c r="B19" s="30" t="s">
        <v>28</v>
      </c>
      <c r="C19" s="34">
        <f>ROUND(IF(EXACT(GrundlagBeregninsType,"livslang"),LivslangResultatSamletÅOP,BankResultatSamletÅOP),4)</f>
        <v>5.9299999999999999E-2</v>
      </c>
      <c r="D19" s="13" t="s">
        <v>29</v>
      </c>
      <c r="E19" s="30"/>
    </row>
    <row r="20" spans="2:21" x14ac:dyDescent="0.15">
      <c r="B20" s="30"/>
      <c r="C20" s="30"/>
    </row>
    <row r="21" spans="2:21" hidden="1" x14ac:dyDescent="0.15"/>
    <row r="22" spans="2:21" ht="18" hidden="1" x14ac:dyDescent="0.25">
      <c r="B22" s="12" t="s">
        <v>7</v>
      </c>
    </row>
    <row r="23" spans="2:21" ht="14.25" hidden="1" x14ac:dyDescent="0.2">
      <c r="B23" s="37" t="s">
        <v>30</v>
      </c>
      <c r="C23" s="37"/>
      <c r="D23" s="37"/>
      <c r="E23" s="37"/>
      <c r="G23" s="36" t="s">
        <v>31</v>
      </c>
      <c r="H23" s="36"/>
      <c r="I23" s="36"/>
      <c r="J23" s="36"/>
      <c r="K23" s="36"/>
      <c r="L23" s="36"/>
      <c r="M23" s="17"/>
      <c r="N23" s="35" t="s">
        <v>32</v>
      </c>
      <c r="O23" s="35"/>
      <c r="P23" s="35"/>
      <c r="Q23" s="35"/>
      <c r="R23" s="35"/>
      <c r="S23" s="35"/>
      <c r="U23" s="14"/>
    </row>
    <row r="24" spans="2:21" hidden="1" x14ac:dyDescent="0.15">
      <c r="B24" s="18" t="s">
        <v>8</v>
      </c>
      <c r="C24" s="18" t="s">
        <v>10</v>
      </c>
      <c r="D24" s="18" t="s">
        <v>33</v>
      </c>
      <c r="E24" s="18" t="s">
        <v>34</v>
      </c>
      <c r="F24" s="14" t="s">
        <v>35</v>
      </c>
      <c r="G24" s="14" t="s">
        <v>21</v>
      </c>
      <c r="H24" s="14" t="s">
        <v>23</v>
      </c>
      <c r="I24" s="14" t="s">
        <v>24</v>
      </c>
      <c r="J24" s="13" t="s">
        <v>25</v>
      </c>
      <c r="K24" s="14" t="s">
        <v>36</v>
      </c>
      <c r="L24" s="14" t="s">
        <v>37</v>
      </c>
      <c r="M24" s="14" t="s">
        <v>38</v>
      </c>
      <c r="N24" s="14" t="s">
        <v>39</v>
      </c>
      <c r="O24" s="14" t="s">
        <v>40</v>
      </c>
      <c r="P24" s="14" t="s">
        <v>41</v>
      </c>
      <c r="Q24" s="13" t="s">
        <v>42</v>
      </c>
      <c r="R24" s="14" t="s">
        <v>27</v>
      </c>
      <c r="S24" s="14" t="s">
        <v>28</v>
      </c>
      <c r="U24" s="19"/>
    </row>
    <row r="25" spans="2:21" hidden="1" x14ac:dyDescent="0.15">
      <c r="B25" s="16">
        <v>300000</v>
      </c>
      <c r="C25" s="16">
        <v>5000</v>
      </c>
      <c r="D25" s="13" t="s">
        <v>43</v>
      </c>
      <c r="E25" s="13" t="s">
        <v>44</v>
      </c>
      <c r="G25" s="20">
        <v>1165</v>
      </c>
      <c r="H25" s="20">
        <v>2592.5</v>
      </c>
      <c r="I25" s="20">
        <v>396.5</v>
      </c>
      <c r="J25" s="20"/>
      <c r="K25" s="21">
        <f>G25+H25+I25+J25</f>
        <v>4154</v>
      </c>
      <c r="L25" s="22">
        <v>1.3599999999999999E-2</v>
      </c>
      <c r="M25" s="22"/>
      <c r="N25" s="23">
        <f t="shared" ref="N25:N31" si="0">IF(EXACT(GrundlagBeregninsType,"livslang"),LivslangResultatÅrligportfølje,BankResultatÅrligportfølje)</f>
        <v>266.5</v>
      </c>
      <c r="O25" s="23">
        <f t="shared" ref="O25:O31" si="1">IF(EXACT(GrundlagBeregninsType,"livslang"),LovslangResultatÅOK,BankResultatÅOK)</f>
        <v>52.524999999999999</v>
      </c>
      <c r="P25" s="23">
        <f t="shared" ref="P25:P31" si="2">IF(EXACT(GrundlagBeregninsType,"livslang"),LivslangResultatIHO,BankResultatIHO)</f>
        <v>6.875</v>
      </c>
      <c r="Q25" s="23" t="e">
        <f t="shared" ref="Q25:Q31" si="3">IF(EXACT(GrundlagBeregninsType,"livslang"),LivslangResultatIndebetaling,NA())</f>
        <v>#N/A</v>
      </c>
      <c r="R25" s="23">
        <f t="shared" ref="R25:R31" si="4">IF(EXACT(GrundlagBeregninsType,"livslang"),LivslangResultatSamletÅOK,BankResultatSamletÅOK)</f>
        <v>325.89999999999998</v>
      </c>
      <c r="S25" s="24">
        <f t="shared" ref="S25:S31" si="5">IF(EXACT(GrundlagBeregninsType,"livslang"),LivslangResultatSamletÅOP,BankResultatSamletÅOP)</f>
        <v>5.9254545454545449E-2</v>
      </c>
      <c r="U25" s="19"/>
    </row>
    <row r="26" spans="2:21" hidden="1" x14ac:dyDescent="0.15">
      <c r="B26" s="16">
        <v>250000</v>
      </c>
      <c r="C26" s="16">
        <v>0</v>
      </c>
      <c r="D26" s="13" t="s">
        <v>45</v>
      </c>
      <c r="E26" s="13" t="s">
        <v>46</v>
      </c>
      <c r="G26" s="20">
        <v>1000</v>
      </c>
      <c r="H26" s="20">
        <v>2387.5</v>
      </c>
      <c r="I26" s="20">
        <v>312.5</v>
      </c>
      <c r="J26" s="20"/>
      <c r="K26" s="21">
        <f t="shared" ref="K26:K31" si="6">G26+H26+I26+J26</f>
        <v>3700</v>
      </c>
      <c r="L26" s="22">
        <v>1.4800000000000001E-2</v>
      </c>
      <c r="M26" s="22"/>
      <c r="N26" s="25">
        <f t="shared" si="0"/>
        <v>266.5</v>
      </c>
      <c r="O26" s="25">
        <f t="shared" si="1"/>
        <v>52.524999999999999</v>
      </c>
      <c r="P26" s="25">
        <f t="shared" si="2"/>
        <v>6.875</v>
      </c>
      <c r="Q26" s="25" t="e">
        <f t="shared" si="3"/>
        <v>#N/A</v>
      </c>
      <c r="R26" s="25">
        <f t="shared" si="4"/>
        <v>325.89999999999998</v>
      </c>
      <c r="S26" s="22">
        <f t="shared" si="5"/>
        <v>5.9254545454545449E-2</v>
      </c>
      <c r="U26" s="19"/>
    </row>
    <row r="27" spans="2:21" hidden="1" x14ac:dyDescent="0.15">
      <c r="B27" s="16">
        <v>600000</v>
      </c>
      <c r="C27" s="16">
        <v>40000</v>
      </c>
      <c r="D27" s="13" t="s">
        <v>13</v>
      </c>
      <c r="E27" s="13" t="s">
        <v>46</v>
      </c>
      <c r="G27" s="20">
        <v>2030</v>
      </c>
      <c r="H27" s="20">
        <v>6784</v>
      </c>
      <c r="I27" s="20">
        <v>768</v>
      </c>
      <c r="J27" s="20"/>
      <c r="K27" s="21">
        <f t="shared" si="6"/>
        <v>9582</v>
      </c>
      <c r="L27" s="22">
        <v>1.4999999999999999E-2</v>
      </c>
      <c r="M27" s="22"/>
      <c r="N27" s="25">
        <f t="shared" si="0"/>
        <v>266.5</v>
      </c>
      <c r="O27" s="25">
        <f t="shared" si="1"/>
        <v>52.524999999999999</v>
      </c>
      <c r="P27" s="25">
        <f t="shared" si="2"/>
        <v>6.875</v>
      </c>
      <c r="Q27" s="25" t="e">
        <f t="shared" si="3"/>
        <v>#N/A</v>
      </c>
      <c r="R27" s="25">
        <f t="shared" si="4"/>
        <v>325.89999999999998</v>
      </c>
      <c r="S27" s="22">
        <f t="shared" si="5"/>
        <v>5.9254545454545449E-2</v>
      </c>
      <c r="U27" s="19"/>
    </row>
    <row r="28" spans="2:21" hidden="1" x14ac:dyDescent="0.15">
      <c r="B28" s="16">
        <v>200000</v>
      </c>
      <c r="C28" s="16">
        <v>50000</v>
      </c>
      <c r="D28" s="13" t="s">
        <v>13</v>
      </c>
      <c r="E28" s="13" t="s">
        <v>16</v>
      </c>
      <c r="G28" s="20">
        <v>1212</v>
      </c>
      <c r="H28" s="20">
        <v>2650</v>
      </c>
      <c r="I28" s="20">
        <v>300</v>
      </c>
      <c r="J28" s="20">
        <v>1000</v>
      </c>
      <c r="K28" s="21">
        <f t="shared" si="6"/>
        <v>5162</v>
      </c>
      <c r="L28" s="22">
        <v>2.06E-2</v>
      </c>
      <c r="M28" s="22"/>
      <c r="N28" s="25">
        <f t="shared" si="0"/>
        <v>266.5</v>
      </c>
      <c r="O28" s="25">
        <f t="shared" si="1"/>
        <v>52.524999999999999</v>
      </c>
      <c r="P28" s="25">
        <f t="shared" si="2"/>
        <v>6.875</v>
      </c>
      <c r="Q28" s="25" t="e">
        <f t="shared" si="3"/>
        <v>#N/A</v>
      </c>
      <c r="R28" s="25">
        <f t="shared" si="4"/>
        <v>325.89999999999998</v>
      </c>
      <c r="S28" s="22">
        <f t="shared" si="5"/>
        <v>5.9254545454545449E-2</v>
      </c>
      <c r="U28" s="19"/>
    </row>
    <row r="29" spans="2:21" hidden="1" x14ac:dyDescent="0.15">
      <c r="B29" s="16">
        <v>50000</v>
      </c>
      <c r="C29" s="16">
        <v>35000</v>
      </c>
      <c r="D29" s="13" t="s">
        <v>47</v>
      </c>
      <c r="E29" s="13" t="s">
        <v>46</v>
      </c>
      <c r="G29" s="20">
        <v>505</v>
      </c>
      <c r="H29" s="20">
        <v>1071</v>
      </c>
      <c r="I29" s="20">
        <v>93.5</v>
      </c>
      <c r="J29" s="20"/>
      <c r="K29" s="21">
        <f t="shared" si="6"/>
        <v>1669.5</v>
      </c>
      <c r="L29" s="22">
        <v>1.9599999999999999E-2</v>
      </c>
      <c r="M29" s="22"/>
      <c r="N29" s="25">
        <f t="shared" si="0"/>
        <v>266.5</v>
      </c>
      <c r="O29" s="25">
        <f t="shared" si="1"/>
        <v>52.524999999999999</v>
      </c>
      <c r="P29" s="25">
        <f t="shared" si="2"/>
        <v>6.875</v>
      </c>
      <c r="Q29" s="25" t="e">
        <f t="shared" si="3"/>
        <v>#N/A</v>
      </c>
      <c r="R29" s="25">
        <f t="shared" si="4"/>
        <v>325.89999999999998</v>
      </c>
      <c r="S29" s="22">
        <f t="shared" si="5"/>
        <v>5.9254545454545449E-2</v>
      </c>
      <c r="U29" s="19"/>
    </row>
    <row r="30" spans="2:21" hidden="1" x14ac:dyDescent="0.15">
      <c r="B30" s="16">
        <v>0</v>
      </c>
      <c r="C30" s="16">
        <v>300000</v>
      </c>
      <c r="D30" s="13" t="s">
        <v>45</v>
      </c>
      <c r="E30" s="13" t="s">
        <v>16</v>
      </c>
      <c r="G30" s="20">
        <v>1332</v>
      </c>
      <c r="H30" s="20">
        <v>2865</v>
      </c>
      <c r="I30" s="20">
        <v>375</v>
      </c>
      <c r="J30" s="20">
        <v>4000</v>
      </c>
      <c r="K30" s="21">
        <f t="shared" si="6"/>
        <v>8572</v>
      </c>
      <c r="L30" s="22">
        <v>2.86E-2</v>
      </c>
      <c r="M30" s="22"/>
      <c r="N30" s="25">
        <f t="shared" si="0"/>
        <v>266.5</v>
      </c>
      <c r="O30" s="25">
        <f t="shared" si="1"/>
        <v>52.524999999999999</v>
      </c>
      <c r="P30" s="25">
        <f t="shared" si="2"/>
        <v>6.875</v>
      </c>
      <c r="Q30" s="25" t="e">
        <f t="shared" si="3"/>
        <v>#N/A</v>
      </c>
      <c r="R30" s="25">
        <f t="shared" si="4"/>
        <v>325.89999999999998</v>
      </c>
      <c r="S30" s="22">
        <f t="shared" si="5"/>
        <v>5.9254545454545449E-2</v>
      </c>
      <c r="U30" s="19"/>
    </row>
    <row r="31" spans="2:21" hidden="1" x14ac:dyDescent="0.15">
      <c r="B31" s="16">
        <v>0</v>
      </c>
      <c r="C31" s="16">
        <v>550000</v>
      </c>
      <c r="D31" s="13" t="s">
        <v>43</v>
      </c>
      <c r="E31" s="13" t="s">
        <v>16</v>
      </c>
      <c r="G31" s="20">
        <v>1892</v>
      </c>
      <c r="H31" s="20">
        <v>4675</v>
      </c>
      <c r="I31" s="20">
        <v>715</v>
      </c>
      <c r="J31" s="20">
        <v>6000</v>
      </c>
      <c r="K31" s="21">
        <f t="shared" si="6"/>
        <v>13282</v>
      </c>
      <c r="L31" s="22">
        <v>2.41E-2</v>
      </c>
      <c r="M31" s="22"/>
      <c r="N31" s="25">
        <f t="shared" si="0"/>
        <v>266.5</v>
      </c>
      <c r="O31" s="25">
        <f t="shared" si="1"/>
        <v>52.524999999999999</v>
      </c>
      <c r="P31" s="25">
        <f t="shared" si="2"/>
        <v>6.875</v>
      </c>
      <c r="Q31" s="25" t="e">
        <f t="shared" si="3"/>
        <v>#N/A</v>
      </c>
      <c r="R31" s="25">
        <f t="shared" si="4"/>
        <v>325.89999999999998</v>
      </c>
      <c r="S31" s="22">
        <f t="shared" si="5"/>
        <v>5.9254545454545449E-2</v>
      </c>
    </row>
    <row r="32" spans="2:21" ht="14.25" hidden="1" x14ac:dyDescent="0.2">
      <c r="B32" s="26"/>
      <c r="C32" s="26"/>
      <c r="D32" s="26"/>
      <c r="E32" s="26"/>
      <c r="G32" s="27"/>
      <c r="H32" s="27"/>
      <c r="I32" s="27"/>
      <c r="J32" s="27"/>
      <c r="K32" s="27"/>
      <c r="L32" s="27"/>
      <c r="N32" s="28"/>
      <c r="O32" s="28"/>
      <c r="P32" s="28"/>
      <c r="Q32" s="28"/>
      <c r="R32" s="28"/>
      <c r="S32" s="28"/>
    </row>
    <row r="33" spans="2:11" ht="18" x14ac:dyDescent="0.25">
      <c r="B33" s="29" t="s">
        <v>0</v>
      </c>
      <c r="C33" s="30"/>
    </row>
    <row r="34" spans="2:11" x14ac:dyDescent="0.15">
      <c r="B34" s="30" t="s">
        <v>1</v>
      </c>
      <c r="C34" s="30"/>
    </row>
    <row r="35" spans="2:11" x14ac:dyDescent="0.15">
      <c r="B35" s="30" t="s">
        <v>2</v>
      </c>
      <c r="C35" s="30"/>
    </row>
    <row r="36" spans="2:11" x14ac:dyDescent="0.15">
      <c r="B36" s="30" t="s">
        <v>3</v>
      </c>
      <c r="C36" s="30"/>
    </row>
    <row r="37" spans="2:11" ht="72.75" customHeight="1" x14ac:dyDescent="0.15">
      <c r="B37" s="38" t="s">
        <v>77</v>
      </c>
      <c r="C37" s="38"/>
      <c r="K37" s="21"/>
    </row>
    <row r="38" spans="2:11" x14ac:dyDescent="0.15">
      <c r="K38" s="21"/>
    </row>
    <row r="39" spans="2:11" ht="144" customHeight="1" x14ac:dyDescent="0.15">
      <c r="B39" s="38" t="s">
        <v>79</v>
      </c>
      <c r="C39" s="38"/>
      <c r="K39" s="21"/>
    </row>
  </sheetData>
  <sheetProtection algorithmName="SHA-512" hashValue="GjESqAxEstSggny2o9Izsr7G9eqieJt5w2AuuJzBvVK9+ugK4i9CP+RtDToKe9Gqae2XyfYEX+LuN1seyUKxIQ==" saltValue="t+J27lob1FpsFmpRpjp/gQ==" spinCount="100000" sheet="1" objects="1" scenarios="1"/>
  <mergeCells count="5">
    <mergeCell ref="N23:S23"/>
    <mergeCell ref="G23:L23"/>
    <mergeCell ref="B23:E23"/>
    <mergeCell ref="B37:C37"/>
    <mergeCell ref="B39:C39"/>
  </mergeCells>
  <conditionalFormatting sqref="G25:S31">
    <cfRule type="duplicateValues" dxfId="72" priority="1"/>
  </conditionalFormatting>
  <dataValidations count="1">
    <dataValidation allowBlank="1" showInputMessage="1" showErrorMessage="1" sqref="F25:F31"/>
  </dataValidations>
  <pageMargins left="0.7" right="0.7" top="0.75" bottom="0.75" header="0.3" footer="0.3"/>
  <pageSetup paperSize="9" orientation="portrait" r:id="rId1"/>
  <tableParts count="3">
    <tablePart r:id="rId2"/>
    <tablePart r:id="rId3"/>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Variabler!$C$6:$F$6</xm:f>
          </x14:formula1>
          <xm:sqref>D25:D31 C7</xm:sqref>
        </x14:dataValidation>
        <x14:dataValidation type="list" allowBlank="1" showInputMessage="1" showErrorMessage="1">
          <x14:formula1>
            <xm:f>Variabler!$B$26:$B$29</xm:f>
          </x14:formula1>
          <xm:sqref>E25:E31</xm:sqref>
        </x14:dataValidation>
        <x14:dataValidation type="list" allowBlank="1" showInputMessage="1" showErrorMessage="1">
          <x14:formula1>
            <xm:f>Variabler!$B$26:$B$29</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29"/>
  <sheetViews>
    <sheetView workbookViewId="0">
      <selection activeCell="A29" sqref="A29:XFD29"/>
    </sheetView>
  </sheetViews>
  <sheetFormatPr defaultRowHeight="11.25" x14ac:dyDescent="0.15"/>
  <cols>
    <col min="2" max="2" width="38.125" customWidth="1"/>
    <col min="3" max="3" width="13.5" customWidth="1"/>
    <col min="4" max="4" width="13.375" customWidth="1"/>
  </cols>
  <sheetData>
    <row r="6" spans="2:8" x14ac:dyDescent="0.15">
      <c r="B6" s="6" t="s">
        <v>48</v>
      </c>
      <c r="C6" s="6" t="s">
        <v>43</v>
      </c>
      <c r="D6" s="6" t="s">
        <v>45</v>
      </c>
      <c r="E6" s="6" t="s">
        <v>13</v>
      </c>
      <c r="F6" s="6" t="s">
        <v>47</v>
      </c>
    </row>
    <row r="7" spans="2:8" x14ac:dyDescent="0.15">
      <c r="B7" t="s">
        <v>49</v>
      </c>
      <c r="C7" s="1">
        <v>1</v>
      </c>
      <c r="D7" s="1">
        <v>0.5</v>
      </c>
      <c r="E7" s="1">
        <v>0</v>
      </c>
      <c r="F7" s="1">
        <v>0</v>
      </c>
    </row>
    <row r="8" spans="2:8" x14ac:dyDescent="0.15">
      <c r="B8" t="s">
        <v>50</v>
      </c>
      <c r="C8">
        <v>0</v>
      </c>
      <c r="D8" s="1">
        <v>0.5</v>
      </c>
      <c r="E8" s="1">
        <v>1</v>
      </c>
      <c r="F8" s="1">
        <v>0</v>
      </c>
    </row>
    <row r="9" spans="2:8" x14ac:dyDescent="0.15">
      <c r="B9" t="s">
        <v>51</v>
      </c>
      <c r="C9">
        <v>0</v>
      </c>
      <c r="D9" s="1">
        <v>0</v>
      </c>
      <c r="E9" s="1">
        <v>0</v>
      </c>
      <c r="F9" s="1">
        <v>1</v>
      </c>
    </row>
    <row r="10" spans="2:8" x14ac:dyDescent="0.15">
      <c r="D10" s="1"/>
      <c r="E10" s="1"/>
      <c r="F10" s="1"/>
    </row>
    <row r="11" spans="2:8" x14ac:dyDescent="0.15">
      <c r="D11" s="1"/>
      <c r="E11" s="1"/>
      <c r="F11" s="1"/>
    </row>
    <row r="12" spans="2:8" x14ac:dyDescent="0.15">
      <c r="B12" t="s">
        <v>37</v>
      </c>
      <c r="C12" s="6" t="s">
        <v>43</v>
      </c>
      <c r="D12" s="6" t="s">
        <v>45</v>
      </c>
      <c r="E12" s="6" t="s">
        <v>13</v>
      </c>
      <c r="F12" s="6" t="s">
        <v>47</v>
      </c>
    </row>
    <row r="13" spans="2:8" x14ac:dyDescent="0.15">
      <c r="B13" s="6" t="s">
        <v>37</v>
      </c>
      <c r="C13" s="3">
        <v>8.5000000000000006E-3</v>
      </c>
      <c r="D13" s="3">
        <f>(D7*0.0085)+(D8*0.0106)</f>
        <v>9.5499999999999995E-3</v>
      </c>
      <c r="E13" s="3">
        <v>1.06E-2</v>
      </c>
      <c r="F13" s="3">
        <v>1.26E-2</v>
      </c>
    </row>
    <row r="14" spans="2:8" x14ac:dyDescent="0.15">
      <c r="B14" s="6"/>
      <c r="C14" s="3"/>
      <c r="D14" s="3"/>
      <c r="E14" s="3"/>
      <c r="F14" s="3"/>
    </row>
    <row r="15" spans="2:8" x14ac:dyDescent="0.15">
      <c r="B15" s="6"/>
      <c r="C15" s="3"/>
      <c r="D15" s="3"/>
      <c r="E15" s="3"/>
      <c r="F15" s="3"/>
    </row>
    <row r="16" spans="2:8" x14ac:dyDescent="0.15">
      <c r="B16" t="s">
        <v>52</v>
      </c>
      <c r="C16" s="6" t="s">
        <v>43</v>
      </c>
      <c r="D16" s="6" t="s">
        <v>45</v>
      </c>
      <c r="E16" s="6" t="s">
        <v>13</v>
      </c>
      <c r="F16" s="6" t="s">
        <v>47</v>
      </c>
      <c r="H16" t="s">
        <v>53</v>
      </c>
    </row>
    <row r="17" spans="2:6" x14ac:dyDescent="0.15">
      <c r="B17" s="6" t="s">
        <v>52</v>
      </c>
      <c r="C17" s="3">
        <v>1.2999999999999999E-3</v>
      </c>
      <c r="D17" s="4">
        <v>1.25E-3</v>
      </c>
      <c r="E17" s="3">
        <v>1.1999999999999999E-3</v>
      </c>
      <c r="F17" s="3">
        <v>1.1000000000000001E-3</v>
      </c>
    </row>
    <row r="19" spans="2:6" x14ac:dyDescent="0.15">
      <c r="B19" s="6"/>
    </row>
    <row r="20" spans="2:6" x14ac:dyDescent="0.15">
      <c r="B20" t="s">
        <v>54</v>
      </c>
      <c r="C20" s="6" t="s">
        <v>55</v>
      </c>
      <c r="D20" s="8" t="s">
        <v>56</v>
      </c>
    </row>
    <row r="21" spans="2:6" x14ac:dyDescent="0.15">
      <c r="B21" s="6" t="s">
        <v>54</v>
      </c>
      <c r="C21" s="5">
        <v>250</v>
      </c>
      <c r="D21" s="5">
        <v>612</v>
      </c>
    </row>
    <row r="22" spans="2:6" x14ac:dyDescent="0.15">
      <c r="D22" s="2"/>
    </row>
    <row r="25" spans="2:6" x14ac:dyDescent="0.15">
      <c r="B25" t="s">
        <v>15</v>
      </c>
      <c r="C25" s="5" t="s">
        <v>57</v>
      </c>
      <c r="D25" s="3" t="s">
        <v>58</v>
      </c>
    </row>
    <row r="26" spans="2:6" x14ac:dyDescent="0.15">
      <c r="B26" t="s">
        <v>44</v>
      </c>
      <c r="C26" t="s">
        <v>55</v>
      </c>
      <c r="D26">
        <v>5200</v>
      </c>
    </row>
    <row r="27" spans="2:6" x14ac:dyDescent="0.15">
      <c r="B27" t="s">
        <v>46</v>
      </c>
      <c r="C27" t="s">
        <v>55</v>
      </c>
      <c r="D27">
        <v>55900</v>
      </c>
    </row>
    <row r="28" spans="2:6" x14ac:dyDescent="0.15">
      <c r="B28" t="s">
        <v>16</v>
      </c>
      <c r="C28" t="s">
        <v>56</v>
      </c>
      <c r="D28" t="s">
        <v>59</v>
      </c>
    </row>
    <row r="29" spans="2:6" x14ac:dyDescent="0.15">
      <c r="B29" t="s">
        <v>60</v>
      </c>
      <c r="C29" t="s">
        <v>55</v>
      </c>
      <c r="D29">
        <v>0</v>
      </c>
    </row>
  </sheetData>
  <dataValidations count="1">
    <dataValidation type="list" allowBlank="1" showInputMessage="1" showErrorMessage="1" sqref="C26:C29">
      <formula1>$C$20:$D$20</formula1>
    </dataValidation>
  </dataValidations>
  <pageMargins left="0.7" right="0.7" top="0.75" bottom="0.75" header="0.3" footer="0.3"/>
  <pageSetup orientation="portrait" r:id="rId1"/>
  <tableParts count="5">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26"/>
  <sheetViews>
    <sheetView workbookViewId="0">
      <selection activeCell="C4" sqref="C4"/>
    </sheetView>
  </sheetViews>
  <sheetFormatPr defaultRowHeight="11.25" x14ac:dyDescent="0.15"/>
  <cols>
    <col min="2" max="2" width="21.625" customWidth="1"/>
    <col min="3" max="3" width="15" customWidth="1"/>
    <col min="4" max="4" width="14.875" customWidth="1"/>
  </cols>
  <sheetData>
    <row r="4" spans="2:3" x14ac:dyDescent="0.15">
      <c r="B4" s="6" t="s">
        <v>61</v>
      </c>
      <c r="C4" t="str">
        <f>VLOOKUP([0]!InputProdukt,ProduktBeregning[#All],2,FALSE)</f>
        <v>bank</v>
      </c>
    </row>
    <row r="6" spans="2:3" x14ac:dyDescent="0.15">
      <c r="B6" s="6" t="s">
        <v>48</v>
      </c>
    </row>
    <row r="7" spans="2:3" x14ac:dyDescent="0.15">
      <c r="B7" t="s">
        <v>49</v>
      </c>
      <c r="C7" s="1">
        <f>HLOOKUP(InputRisiko,Investeringsallokering[[#All],[lav]:[høj+]],2,FALSE)</f>
        <v>0.5</v>
      </c>
    </row>
    <row r="8" spans="2:3" x14ac:dyDescent="0.15">
      <c r="B8" t="s">
        <v>50</v>
      </c>
      <c r="C8" s="1">
        <f>HLOOKUP(InputRisiko,Investeringsallokering[[#All],[lav]:[høj+]],3,FALSE)</f>
        <v>0.5</v>
      </c>
    </row>
    <row r="9" spans="2:3" x14ac:dyDescent="0.15">
      <c r="B9" t="s">
        <v>51</v>
      </c>
      <c r="C9" s="1">
        <f>HLOOKUP(InputRisiko,Investeringsallokering[[#All],[lav]:[høj+]],4,FALSE)</f>
        <v>0</v>
      </c>
    </row>
    <row r="11" spans="2:3" x14ac:dyDescent="0.15">
      <c r="B11" s="6" t="s">
        <v>37</v>
      </c>
      <c r="C11" s="4">
        <f>HLOOKUP(InputRisiko,ÅOP[[#All],[lav]:[høj+]],2,FALSE)</f>
        <v>9.5499999999999995E-3</v>
      </c>
    </row>
    <row r="13" spans="2:3" x14ac:dyDescent="0.15">
      <c r="B13" s="6" t="s">
        <v>52</v>
      </c>
      <c r="C13" s="4">
        <f>HLOOKUP(InputRisiko,IHO[[#All],[lav]:[høj+]],2,FALSE)</f>
        <v>1.25E-3</v>
      </c>
    </row>
    <row r="16" spans="2:3" x14ac:dyDescent="0.15">
      <c r="B16" s="6" t="s">
        <v>62</v>
      </c>
      <c r="C16" s="7">
        <f>HLOOKUP(GrundlagBeregninsType,FastGebyr[[#All],[bank]:[livslang]],2,TRUE)</f>
        <v>250</v>
      </c>
    </row>
    <row r="24" spans="2:4" x14ac:dyDescent="0.15">
      <c r="B24" s="6"/>
    </row>
    <row r="25" spans="2:4" x14ac:dyDescent="0.15">
      <c r="C25" s="5"/>
      <c r="D25" s="3"/>
    </row>
    <row r="26" spans="2:4" x14ac:dyDescent="0.15">
      <c r="D26" s="3"/>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Variabler!$C$20:$D$20</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2"/>
  <sheetViews>
    <sheetView workbookViewId="0">
      <selection activeCell="C22" sqref="C22"/>
    </sheetView>
  </sheetViews>
  <sheetFormatPr defaultRowHeight="11.25" x14ac:dyDescent="0.15"/>
  <cols>
    <col min="1" max="1" width="4.5" customWidth="1"/>
    <col min="2" max="2" width="21.875" customWidth="1"/>
    <col min="3" max="3" width="20.75" customWidth="1"/>
    <col min="4" max="4" width="15" bestFit="1" customWidth="1"/>
    <col min="5" max="5" width="16.625" bestFit="1" customWidth="1"/>
    <col min="6" max="6" width="12.625" bestFit="1" customWidth="1"/>
  </cols>
  <sheetData>
    <row r="3" spans="2:5" x14ac:dyDescent="0.15">
      <c r="B3" s="6" t="s">
        <v>63</v>
      </c>
    </row>
    <row r="4" spans="2:5" x14ac:dyDescent="0.15">
      <c r="B4" t="s">
        <v>64</v>
      </c>
      <c r="C4" s="7">
        <f>SUM(InputSaldo,InputIndbetaling)</f>
        <v>5500</v>
      </c>
    </row>
    <row r="5" spans="2:5" x14ac:dyDescent="0.15">
      <c r="C5" s="7"/>
    </row>
    <row r="7" spans="2:5" x14ac:dyDescent="0.15">
      <c r="B7" t="s">
        <v>65</v>
      </c>
      <c r="C7" t="s">
        <v>66</v>
      </c>
      <c r="D7" t="s">
        <v>67</v>
      </c>
      <c r="E7" t="s">
        <v>68</v>
      </c>
    </row>
    <row r="8" spans="2:5" x14ac:dyDescent="0.15">
      <c r="B8" s="5">
        <v>0</v>
      </c>
      <c r="C8" s="3">
        <v>3.0000000000000001E-3</v>
      </c>
      <c r="D8" s="9">
        <f>IF(AND(BankIndbetalingSum&gt;B8,BankIndbetalingSum&gt;B9),B9-B8,IF(BankIndbetalingSum-B8&gt;0,BankIndbetalingSum-B8,0))</f>
        <v>5500</v>
      </c>
      <c r="E8" s="7">
        <f>BankPortføjlegebyrBeregning[[#This Row],[Sats]]*BankPortføjlegebyrBeregning[[#This Row],[Grundbeløb]]</f>
        <v>16.5</v>
      </c>
    </row>
    <row r="9" spans="2:5" x14ac:dyDescent="0.15">
      <c r="B9" s="5">
        <v>500000</v>
      </c>
      <c r="C9" s="3">
        <v>2E-3</v>
      </c>
      <c r="D9" s="9">
        <f>IF(AND(BankIndbetalingSum&gt;B9,BankIndbetalingSum&gt;B10),B10-B9,IF(BankIndbetalingSum-B9&gt;0,BankIndbetalingSum-B9,0))</f>
        <v>0</v>
      </c>
      <c r="E9" s="7">
        <f>BankPortføjlegebyrBeregning[[#This Row],[Sats]]*BankPortføjlegebyrBeregning[[#This Row],[Grundbeløb]]</f>
        <v>0</v>
      </c>
    </row>
    <row r="10" spans="2:5" x14ac:dyDescent="0.15">
      <c r="B10" s="5" t="s">
        <v>69</v>
      </c>
      <c r="E10" s="9">
        <f>SUBTOTAL(109,BankPortføjlegebyrBeregning[Portføljegebyr])</f>
        <v>16.5</v>
      </c>
    </row>
    <row r="11" spans="2:5" x14ac:dyDescent="0.15">
      <c r="B11" s="5"/>
      <c r="C11" s="3"/>
      <c r="D11" s="9"/>
    </row>
    <row r="15" spans="2:5" x14ac:dyDescent="0.15">
      <c r="B15" t="s">
        <v>21</v>
      </c>
      <c r="C15" s="9">
        <f>GrundlagGebyr+BankPortføjlegebyrBeregning[[#Totals],[Portføljegebyr]]</f>
        <v>266.5</v>
      </c>
    </row>
    <row r="17" spans="2:3" x14ac:dyDescent="0.15">
      <c r="B17" t="s">
        <v>23</v>
      </c>
      <c r="C17" s="7">
        <f>SUM(InputSaldo,InputIndbetaling)*GrundlagÅOP</f>
        <v>52.524999999999999</v>
      </c>
    </row>
    <row r="19" spans="2:3" x14ac:dyDescent="0.15">
      <c r="B19" t="s">
        <v>24</v>
      </c>
      <c r="C19" s="7">
        <f>SUM(InputSaldo,InputIndbetaling)*GrundlagIHO</f>
        <v>6.875</v>
      </c>
    </row>
    <row r="21" spans="2:3" x14ac:dyDescent="0.15">
      <c r="B21" t="s">
        <v>27</v>
      </c>
      <c r="C21" s="7">
        <f>SUM(C15:C20)</f>
        <v>325.89999999999998</v>
      </c>
    </row>
    <row r="22" spans="2:3" x14ac:dyDescent="0.15">
      <c r="B22" t="s">
        <v>28</v>
      </c>
      <c r="C22" s="3">
        <f>C21/C4</f>
        <v>5.9254545454545449E-2</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workbookViewId="0">
      <selection activeCell="C32" sqref="C32"/>
    </sheetView>
  </sheetViews>
  <sheetFormatPr defaultRowHeight="11.25" x14ac:dyDescent="0.15"/>
  <cols>
    <col min="2" max="2" width="22.125" customWidth="1"/>
    <col min="3" max="3" width="15.5" customWidth="1"/>
    <col min="4" max="4" width="18.75" customWidth="1"/>
    <col min="5" max="5" width="15.75" customWidth="1"/>
    <col min="6" max="6" width="17" customWidth="1"/>
  </cols>
  <sheetData>
    <row r="2" spans="2:5" x14ac:dyDescent="0.15">
      <c r="B2" s="6" t="s">
        <v>70</v>
      </c>
    </row>
    <row r="3" spans="2:5" x14ac:dyDescent="0.15">
      <c r="B3" s="6"/>
    </row>
    <row r="4" spans="2:5" x14ac:dyDescent="0.15">
      <c r="B4" t="s">
        <v>64</v>
      </c>
      <c r="C4" s="7">
        <f>SUM(InputSaldo,InputIndbetaling)</f>
        <v>5500</v>
      </c>
    </row>
    <row r="5" spans="2:5" x14ac:dyDescent="0.15">
      <c r="C5" s="7"/>
    </row>
    <row r="7" spans="2:5" x14ac:dyDescent="0.15">
      <c r="B7" t="s">
        <v>65</v>
      </c>
      <c r="C7" t="s">
        <v>66</v>
      </c>
      <c r="D7" t="s">
        <v>67</v>
      </c>
      <c r="E7" t="s">
        <v>68</v>
      </c>
    </row>
    <row r="8" spans="2:5" x14ac:dyDescent="0.15">
      <c r="B8" s="5">
        <v>0</v>
      </c>
      <c r="C8" s="3">
        <v>2.3999999999999998E-3</v>
      </c>
      <c r="D8" s="9">
        <f>IF(AND(LivslangSaldoIndbetaling&gt;B8,LivslangSaldoIndbetaling&gt;B9),B9-B8,IF(LivslangSaldoIndbetaling-B8&gt;0,LivslangSaldoIndbetaling-B8,0))</f>
        <v>5500</v>
      </c>
      <c r="E8" s="7">
        <f>LivslangPortføljegebyr[[#This Row],[Sats]]*LivslangPortføljegebyr[[#This Row],[Grundbeløb]]</f>
        <v>13.2</v>
      </c>
    </row>
    <row r="9" spans="2:5" x14ac:dyDescent="0.15">
      <c r="B9" s="5">
        <v>500000</v>
      </c>
      <c r="C9" s="3">
        <v>1.6000000000000001E-3</v>
      </c>
      <c r="D9" s="9">
        <f>IF(AND(LivslangSaldoIndbetaling&gt;B9,LivslangSaldoIndbetaling&gt;B10),B10-B9,IF(LivslangSaldoIndbetaling-B9&gt;0,LivslangSaldoIndbetaling-B9,0))</f>
        <v>0</v>
      </c>
      <c r="E9" s="7">
        <f>LivslangPortføljegebyr[[#This Row],[Sats]]*LivslangPortføljegebyr[[#This Row],[Grundbeløb]]</f>
        <v>0</v>
      </c>
    </row>
    <row r="10" spans="2:5" x14ac:dyDescent="0.15">
      <c r="B10" t="s">
        <v>71</v>
      </c>
      <c r="E10" s="9">
        <f>SUBTOTAL(109,LivslangPortføljegebyr[Portføljegebyr])</f>
        <v>13.2</v>
      </c>
    </row>
    <row r="11" spans="2:5" x14ac:dyDescent="0.15">
      <c r="E11" s="9"/>
    </row>
    <row r="12" spans="2:5" x14ac:dyDescent="0.15">
      <c r="B12" s="5" t="s">
        <v>10</v>
      </c>
      <c r="C12" s="7">
        <f>InputIndbetaling</f>
        <v>500</v>
      </c>
      <c r="D12" s="9"/>
    </row>
    <row r="14" spans="2:5" x14ac:dyDescent="0.15">
      <c r="B14" t="s">
        <v>65</v>
      </c>
      <c r="C14" t="s">
        <v>66</v>
      </c>
      <c r="D14" t="s">
        <v>67</v>
      </c>
      <c r="E14" t="s">
        <v>72</v>
      </c>
    </row>
    <row r="15" spans="2:5" x14ac:dyDescent="0.15">
      <c r="B15" s="5">
        <v>0</v>
      </c>
      <c r="C15" s="3">
        <v>0.02</v>
      </c>
      <c r="D15" s="9">
        <f>IF(AND(LivslangIndbetaling&gt;B15,LivslangIndbetaling&gt;B16),B16-B15,IF(LivslangIndbetaling-B15&gt;0,LivslangIndbetaling-B15,0))</f>
        <v>500</v>
      </c>
      <c r="E15" s="7">
        <f>LivslangIndbetalingGebyr[[#This Row],[Sats]]*LivslangIndbetalingGebyr[[#This Row],[Grundbeløb]]</f>
        <v>10</v>
      </c>
    </row>
    <row r="16" spans="2:5" x14ac:dyDescent="0.15">
      <c r="B16" s="5">
        <v>100000</v>
      </c>
      <c r="C16" s="3">
        <v>0.01</v>
      </c>
      <c r="D16" s="9">
        <f>IF(AND(LivslangIndbetaling&gt;B16,LivslangIndbetaling&gt;B17),B17-B16,IF(LivslangIndbetaling-B16&gt;0,LivslangIndbetaling-B16,0))</f>
        <v>0</v>
      </c>
      <c r="E16" s="7">
        <f>LivslangIndbetalingGebyr[[#This Row],[Sats]]*LivslangIndbetalingGebyr[[#This Row],[Grundbeløb]]</f>
        <v>0</v>
      </c>
    </row>
    <row r="17" spans="2:5" x14ac:dyDescent="0.15">
      <c r="B17" s="5">
        <v>500000</v>
      </c>
      <c r="C17" s="3">
        <v>0</v>
      </c>
      <c r="D17" s="9">
        <f>IF(AND(LivslangIndbetaling&gt;B17,LivslangIndbetaling&gt;B18),B18-B17,IF(LivslangIndbetaling-B17&gt;0,LivslangIndbetaling-B17,0))</f>
        <v>0</v>
      </c>
      <c r="E17" s="7">
        <f>LivslangIndbetalingGebyr[[#This Row],[Sats]]*LivslangIndbetalingGebyr[[#This Row],[Grundbeløb]]</f>
        <v>0</v>
      </c>
    </row>
    <row r="18" spans="2:5" x14ac:dyDescent="0.15">
      <c r="B18" t="s">
        <v>71</v>
      </c>
      <c r="E18" s="9">
        <f>SUBTOTAL(109,LivslangIndbetalingGebyr[Indbetalingsgebyr])</f>
        <v>10</v>
      </c>
    </row>
    <row r="23" spans="2:5" x14ac:dyDescent="0.15">
      <c r="B23" t="s">
        <v>21</v>
      </c>
      <c r="C23" s="9">
        <f>GrundlagGebyr+LivslangPortføljegebyr[[#Totals],[Portføljegebyr]]</f>
        <v>263.2</v>
      </c>
    </row>
    <row r="25" spans="2:5" x14ac:dyDescent="0.15">
      <c r="B25" t="s">
        <v>23</v>
      </c>
      <c r="C25" s="7">
        <f>SUM(InputSaldo,InputIndbetaling)*GrundlagÅOP</f>
        <v>52.524999999999999</v>
      </c>
    </row>
    <row r="27" spans="2:5" x14ac:dyDescent="0.15">
      <c r="B27" t="s">
        <v>24</v>
      </c>
      <c r="C27" s="7">
        <f>SUM(InputSaldo,InputIndbetaling)*GrundlagIHO</f>
        <v>6.875</v>
      </c>
    </row>
    <row r="28" spans="2:5" x14ac:dyDescent="0.15">
      <c r="B28" t="s">
        <v>25</v>
      </c>
      <c r="C28" s="7">
        <f>LivslangIndbetalingGebyr[[#Totals],[Indbetalingsgebyr]]</f>
        <v>10</v>
      </c>
    </row>
    <row r="30" spans="2:5" x14ac:dyDescent="0.15">
      <c r="B30" t="s">
        <v>27</v>
      </c>
      <c r="C30" s="7">
        <f>SUM(C23:C29)</f>
        <v>332.59999999999997</v>
      </c>
    </row>
    <row r="34" spans="2:3" x14ac:dyDescent="0.15">
      <c r="B34" t="s">
        <v>28</v>
      </c>
      <c r="C34" s="3">
        <f>(C30)/C4</f>
        <v>6.0472727272727268E-2</v>
      </c>
    </row>
  </sheetData>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ea5411b-15f4-42f0-8a6d-ae51a9901538">
      <UserInfo>
        <DisplayName>Robert Runge</DisplayName>
        <AccountId>200</AccountId>
        <AccountType/>
      </UserInfo>
      <UserInfo>
        <DisplayName>Kasper Laursen</DisplayName>
        <AccountId>1378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56A0694605B6F4BB4A74DAED9503948" ma:contentTypeVersion="10" ma:contentTypeDescription="Opret et nyt dokument." ma:contentTypeScope="" ma:versionID="fc9b5f21d1040177fbb514000006a299">
  <xsd:schema xmlns:xsd="http://www.w3.org/2001/XMLSchema" xmlns:xs="http://www.w3.org/2001/XMLSchema" xmlns:p="http://schemas.microsoft.com/office/2006/metadata/properties" xmlns:ns3="edce2674-9020-47be-a3c7-8f5b89f5fb67" xmlns:ns4="9ea5411b-15f4-42f0-8a6d-ae51a9901538" targetNamespace="http://schemas.microsoft.com/office/2006/metadata/properties" ma:root="true" ma:fieldsID="9ac351d4ad3201832d27e539d415157d" ns3:_="" ns4:_="">
    <xsd:import namespace="edce2674-9020-47be-a3c7-8f5b89f5fb67"/>
    <xsd:import namespace="9ea5411b-15f4-42f0-8a6d-ae51a990153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ce2674-9020-47be-a3c7-8f5b89f5fb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a5411b-15f4-42f0-8a6d-ae51a9901538"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element name="SharingHintHash" ma:index="12"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CFD387-D2C0-4D82-A9B9-544878CA6F1E}">
  <ds:schemaRefs>
    <ds:schemaRef ds:uri="http://schemas.microsoft.com/sharepoint/v3/contenttype/forms"/>
  </ds:schemaRefs>
</ds:datastoreItem>
</file>

<file path=customXml/itemProps2.xml><?xml version="1.0" encoding="utf-8"?>
<ds:datastoreItem xmlns:ds="http://schemas.openxmlformats.org/officeDocument/2006/customXml" ds:itemID="{4DAD3C75-C817-4B62-813F-A2DDA6B66D7B}">
  <ds:schemaRefs>
    <ds:schemaRef ds:uri="http://purl.org/dc/elements/1.1/"/>
    <ds:schemaRef ds:uri="http://purl.org/dc/terms/"/>
    <ds:schemaRef ds:uri="http://schemas.microsoft.com/office/2006/documentManagement/types"/>
    <ds:schemaRef ds:uri="http://purl.org/dc/dcmitype/"/>
    <ds:schemaRef ds:uri="http://schemas.microsoft.com/office/2006/metadata/properties"/>
    <ds:schemaRef ds:uri="edce2674-9020-47be-a3c7-8f5b89f5fb67"/>
    <ds:schemaRef ds:uri="9ea5411b-15f4-42f0-8a6d-ae51a9901538"/>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2114FE5-2166-4C6D-9A13-045427805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ce2674-9020-47be-a3c7-8f5b89f5fb67"/>
    <ds:schemaRef ds:uri="9ea5411b-15f4-42f0-8a6d-ae51a99015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27</vt:i4>
      </vt:variant>
    </vt:vector>
  </HeadingPairs>
  <TitlesOfParts>
    <vt:vector size="32" baseType="lpstr">
      <vt:lpstr>Input-resultat-validering</vt:lpstr>
      <vt:lpstr>Variabler</vt:lpstr>
      <vt:lpstr>Beregningsgrundlag</vt:lpstr>
      <vt:lpstr>Beregning - Bank</vt:lpstr>
      <vt:lpstr>Beregning - Livslang</vt:lpstr>
      <vt:lpstr>BankIndbetalingSum</vt:lpstr>
      <vt:lpstr>BankResultatIHO</vt:lpstr>
      <vt:lpstr>BankResultatSamletÅOK</vt:lpstr>
      <vt:lpstr>BankResultatSamletÅOP</vt:lpstr>
      <vt:lpstr>BankResultatÅOK</vt:lpstr>
      <vt:lpstr>BankResultatÅOKInvForening</vt:lpstr>
      <vt:lpstr>BankResultatÅrligportfølje</vt:lpstr>
      <vt:lpstr>GrundlagBeregninsType</vt:lpstr>
      <vt:lpstr>GrundlagDefensiv</vt:lpstr>
      <vt:lpstr>GrundlagGebyr</vt:lpstr>
      <vt:lpstr>GrundlagIHO</vt:lpstr>
      <vt:lpstr>GrundlagModerat</vt:lpstr>
      <vt:lpstr>GrundlagOffensiv</vt:lpstr>
      <vt:lpstr>GrundlagÅOP</vt:lpstr>
      <vt:lpstr>InputIndbetaling</vt:lpstr>
      <vt:lpstr>InputProdukt</vt:lpstr>
      <vt:lpstr>InputRisiko</vt:lpstr>
      <vt:lpstr>InputSaldo</vt:lpstr>
      <vt:lpstr>LivslangIndbetaling</vt:lpstr>
      <vt:lpstr>LivslangResultatIHO</vt:lpstr>
      <vt:lpstr>LivslangResultatIndebetaling</vt:lpstr>
      <vt:lpstr>LivslangResultatSamletÅOK</vt:lpstr>
      <vt:lpstr>LivslangResultatSamletÅOP</vt:lpstr>
      <vt:lpstr>LivslangResultatÅrligportfølje</vt:lpstr>
      <vt:lpstr>LivslangSaldoIndbetaling</vt:lpstr>
      <vt:lpstr>LovslangResultatÅOK</vt:lpstr>
      <vt:lpstr>ResultatÅOK</vt:lpstr>
    </vt:vector>
  </TitlesOfParts>
  <Manager/>
  <Company>Nykredit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CADR</dc:creator>
  <cp:keywords/>
  <dc:description/>
  <cp:lastModifiedBy>RIX</cp:lastModifiedBy>
  <cp:revision/>
  <dcterms:created xsi:type="dcterms:W3CDTF">2019-03-19T09:51:11Z</dcterms:created>
  <dcterms:modified xsi:type="dcterms:W3CDTF">2020-07-02T14:01:33Z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0x010100256A0694605B6F4BB4A74DAED9503948</vt:lpwstr>
  </property>
  <property fmtid="{D5CDD505-2E9C-101B-9397-08002B2CF9AE}" pid="3" name="AuthorIds_UIVersion_33">
    <vt:lpwstr>1378</vt:lpwstr>
  </property>
</Properties>
</file>